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24226"/>
  <mc:AlternateContent xmlns:mc="http://schemas.openxmlformats.org/markup-compatibility/2006">
    <mc:Choice Requires="x15">
      <x15ac:absPath xmlns:x15ac="http://schemas.microsoft.com/office/spreadsheetml/2010/11/ac" url="\\File1.centralbank.org.bz\CBB Website Content\Draft Content\NEW WEBSITE CONTENT\3.0 Statistics\3.1 Banking System\"/>
    </mc:Choice>
  </mc:AlternateContent>
  <xr:revisionPtr revIDLastSave="0" documentId="13_ncr:1_{D1E69BF1-16AD-4BB0-82F3-D82C2E8E634D}" xr6:coauthVersionLast="47" xr6:coauthVersionMax="47" xr10:uidLastSave="{00000000-0000-0000-0000-000000000000}"/>
  <bookViews>
    <workbookView xWindow="-110" yWindow="-110" windowWidth="19420" windowHeight="11500" activeTab="1" xr2:uid="{00000000-000D-0000-FFFF-FFFF00000000}"/>
  </bookViews>
  <sheets>
    <sheet name="1977-1999" sheetId="2" r:id="rId1"/>
    <sheet name="2000-2026" sheetId="8" r:id="rId2"/>
    <sheet name="Notes" sheetId="14" r:id="rId3"/>
  </sheets>
  <definedNames>
    <definedName name="A">'1977-1999'!$A$6</definedName>
    <definedName name="C_">'1977-1999'!$A$2:$H$6</definedName>
    <definedName name="D_">'1977-1999'!$A$2:$N$4</definedName>
    <definedName name="_xlnm.Print_Area" localSheetId="1">'2000-2026'!$A$8:$K$258</definedName>
    <definedName name="_xlnm.Print_Area" localSheetId="2">Notes!$A$1:$P$24</definedName>
    <definedName name="Print_Area_MI" localSheetId="0">'1977-1999'!#REF!</definedName>
    <definedName name="_xlnm.Print_Titles" localSheetId="0">'1977-1999'!$1:$6</definedName>
    <definedName name="_xlnm.Print_Titles" localSheetId="1">'2000-2026'!$1:$7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27" i="8" l="1"/>
  <c r="F226" i="8"/>
  <c r="F225" i="8"/>
  <c r="F224" i="8"/>
  <c r="F223" i="8"/>
  <c r="F222" i="8"/>
  <c r="F221" i="8"/>
  <c r="F220" i="8"/>
  <c r="F219" i="8"/>
  <c r="F218" i="8"/>
  <c r="F217" i="8"/>
  <c r="F228" i="8"/>
  <c r="K228" i="8"/>
  <c r="K227" i="8"/>
  <c r="K226" i="8"/>
  <c r="K225" i="8"/>
  <c r="K224" i="8"/>
  <c r="F215" i="8"/>
  <c r="F214" i="8"/>
  <c r="F213" i="8"/>
  <c r="F212" i="8"/>
  <c r="K223" i="8"/>
  <c r="K222" i="8"/>
  <c r="K221" i="8"/>
  <c r="K220" i="8"/>
  <c r="K215" i="8"/>
  <c r="K218" i="8"/>
  <c r="K219" i="8"/>
  <c r="F209" i="8"/>
  <c r="K209" i="8"/>
  <c r="K217" i="8"/>
  <c r="K212" i="8"/>
  <c r="K213" i="8"/>
  <c r="K214" i="8"/>
  <c r="F211" i="8"/>
  <c r="K211" i="8"/>
  <c r="F210" i="8"/>
  <c r="K210" i="8"/>
  <c r="F208" i="8"/>
  <c r="K208" i="8"/>
  <c r="F207" i="8"/>
  <c r="K207" i="8"/>
  <c r="F206" i="8"/>
  <c r="K206" i="8"/>
  <c r="E176" i="8"/>
  <c r="F176" i="8"/>
  <c r="F205" i="8"/>
  <c r="K205" i="8"/>
  <c r="F199" i="8"/>
  <c r="F200" i="8"/>
  <c r="F197" i="8"/>
  <c r="F204" i="8"/>
  <c r="K204" i="8"/>
  <c r="F202" i="8"/>
  <c r="K202" i="8"/>
  <c r="F201" i="8"/>
  <c r="K201" i="8"/>
  <c r="K200" i="8"/>
  <c r="K199" i="8"/>
  <c r="F198" i="8"/>
  <c r="K198" i="8"/>
  <c r="K197" i="8"/>
  <c r="F196" i="8"/>
  <c r="K196" i="8"/>
  <c r="E178" i="8"/>
  <c r="F178" i="8"/>
  <c r="F179" i="8"/>
  <c r="K179" i="8"/>
  <c r="F180" i="8"/>
  <c r="K180" i="8"/>
  <c r="F181" i="8"/>
  <c r="K181" i="8"/>
  <c r="F182" i="8"/>
  <c r="K182" i="8"/>
  <c r="F183" i="8"/>
  <c r="K183" i="8"/>
  <c r="F184" i="8"/>
  <c r="K184" i="8"/>
  <c r="F185" i="8"/>
  <c r="K185" i="8"/>
  <c r="F186" i="8"/>
  <c r="K186" i="8"/>
  <c r="F187" i="8"/>
  <c r="K187" i="8"/>
  <c r="F188" i="8"/>
  <c r="K188" i="8"/>
  <c r="F189" i="8"/>
  <c r="K189" i="8"/>
  <c r="F191" i="8"/>
  <c r="K191" i="8"/>
  <c r="F192" i="8"/>
  <c r="K192" i="8"/>
  <c r="K193" i="8"/>
  <c r="K194" i="8"/>
  <c r="K195" i="8"/>
  <c r="I33" i="2"/>
  <c r="I32" i="2"/>
  <c r="I31" i="2"/>
  <c r="I30" i="2"/>
  <c r="I28" i="2"/>
  <c r="I27" i="2"/>
  <c r="I26" i="2"/>
  <c r="I25" i="2"/>
  <c r="I23" i="2"/>
  <c r="I22" i="2"/>
  <c r="I21" i="2"/>
  <c r="I20" i="2"/>
  <c r="K178" i="8"/>
  <c r="F175" i="8"/>
  <c r="E175" i="8"/>
  <c r="F174" i="8"/>
  <c r="E174" i="8"/>
  <c r="F173" i="8"/>
  <c r="E173" i="8"/>
  <c r="E172" i="8"/>
  <c r="F172" i="8"/>
  <c r="F171" i="8"/>
  <c r="K171" i="8"/>
  <c r="F170" i="8"/>
  <c r="K170" i="8"/>
  <c r="F169" i="8"/>
  <c r="K169" i="8"/>
  <c r="F168" i="8"/>
  <c r="K168" i="8"/>
  <c r="F167" i="8"/>
  <c r="E167" i="8"/>
  <c r="F166" i="8"/>
  <c r="K166" i="8"/>
  <c r="F165" i="8"/>
  <c r="E165" i="8"/>
  <c r="F163" i="8"/>
  <c r="K163" i="8"/>
  <c r="F162" i="8"/>
  <c r="K162" i="8"/>
  <c r="F160" i="8"/>
  <c r="K160" i="8"/>
  <c r="F159" i="8"/>
  <c r="K159" i="8"/>
  <c r="F161" i="8"/>
  <c r="K161" i="8"/>
  <c r="F158" i="8"/>
  <c r="K158" i="8"/>
  <c r="F157" i="8"/>
  <c r="K157" i="8"/>
  <c r="F156" i="8"/>
  <c r="K156" i="8"/>
  <c r="G155" i="8"/>
  <c r="F155" i="8"/>
  <c r="F154" i="8"/>
  <c r="K154" i="8"/>
  <c r="F153" i="8"/>
  <c r="E153" i="8"/>
  <c r="F152" i="8"/>
  <c r="E152" i="8"/>
  <c r="F150" i="8"/>
  <c r="E150" i="8"/>
  <c r="F149" i="8"/>
  <c r="E149" i="8"/>
  <c r="F148" i="8"/>
  <c r="E148" i="8"/>
  <c r="K147" i="8"/>
  <c r="K146" i="8"/>
  <c r="K145" i="8"/>
  <c r="K144" i="8"/>
  <c r="K143" i="8"/>
  <c r="K142" i="8"/>
  <c r="K141" i="8"/>
  <c r="K140" i="8"/>
  <c r="K139" i="8"/>
  <c r="F124" i="8"/>
  <c r="E124" i="8"/>
  <c r="F123" i="8"/>
  <c r="E123" i="8"/>
  <c r="F122" i="8"/>
  <c r="E122" i="8"/>
  <c r="K121" i="8"/>
  <c r="K120" i="8"/>
  <c r="K119" i="8"/>
  <c r="K118" i="8"/>
  <c r="K117" i="8"/>
  <c r="K116" i="8"/>
  <c r="K115" i="8"/>
  <c r="K114" i="8"/>
  <c r="K113" i="8"/>
  <c r="K111" i="8"/>
  <c r="K110" i="8"/>
  <c r="K109" i="8"/>
  <c r="K108" i="8"/>
  <c r="K107" i="8"/>
  <c r="K106" i="8"/>
  <c r="K105" i="8"/>
  <c r="K104" i="8"/>
  <c r="K103" i="8"/>
  <c r="K102" i="8"/>
  <c r="K101" i="8"/>
  <c r="K100" i="8"/>
  <c r="K98" i="8"/>
  <c r="K97" i="8"/>
  <c r="K96" i="8"/>
  <c r="K95" i="8"/>
  <c r="K94" i="8"/>
  <c r="K93" i="8"/>
  <c r="K92" i="8"/>
  <c r="K91" i="8"/>
  <c r="K90" i="8"/>
  <c r="K89" i="8"/>
  <c r="K88" i="8"/>
  <c r="K87" i="8"/>
  <c r="K85" i="8"/>
  <c r="K84" i="8"/>
  <c r="K83" i="8"/>
  <c r="K82" i="8"/>
  <c r="K81" i="8"/>
  <c r="K80" i="8"/>
  <c r="K79" i="8"/>
  <c r="K78" i="8"/>
  <c r="K77" i="8"/>
  <c r="K76" i="8"/>
  <c r="K75" i="8"/>
  <c r="K74" i="8"/>
  <c r="K72" i="8"/>
  <c r="K71" i="8"/>
  <c r="K70" i="8"/>
  <c r="K69" i="8"/>
  <c r="K68" i="8"/>
  <c r="K67" i="8"/>
  <c r="K66" i="8"/>
  <c r="K65" i="8"/>
  <c r="K64" i="8"/>
  <c r="K63" i="8"/>
  <c r="K62" i="8"/>
  <c r="K61" i="8"/>
  <c r="I215" i="2"/>
  <c r="I214" i="2"/>
  <c r="I213" i="2"/>
  <c r="I212" i="2"/>
  <c r="I211" i="2"/>
  <c r="I210" i="2"/>
  <c r="I209" i="2"/>
  <c r="I208" i="2"/>
  <c r="I207" i="2"/>
  <c r="I206" i="2"/>
  <c r="I205" i="2"/>
  <c r="I204" i="2"/>
  <c r="I202" i="2"/>
  <c r="I201" i="2"/>
  <c r="I200" i="2"/>
  <c r="I199" i="2"/>
  <c r="I198" i="2"/>
  <c r="I197" i="2"/>
  <c r="I196" i="2"/>
  <c r="I195" i="2"/>
  <c r="I194" i="2"/>
  <c r="I193" i="2"/>
  <c r="I192" i="2"/>
  <c r="I191" i="2"/>
  <c r="I189" i="2"/>
  <c r="I188" i="2"/>
  <c r="I187" i="2"/>
  <c r="I186" i="2"/>
  <c r="I185" i="2"/>
  <c r="I184" i="2"/>
  <c r="I183" i="2"/>
  <c r="I182" i="2"/>
  <c r="I181" i="2"/>
  <c r="I180" i="2"/>
  <c r="I179" i="2"/>
  <c r="I178" i="2"/>
  <c r="I176" i="2"/>
  <c r="I175" i="2"/>
  <c r="I174" i="2"/>
  <c r="I173" i="2"/>
  <c r="I172" i="2"/>
  <c r="I171" i="2"/>
  <c r="I170" i="2"/>
  <c r="I169" i="2"/>
  <c r="I168" i="2"/>
  <c r="I167" i="2"/>
  <c r="I166" i="2"/>
  <c r="I165" i="2"/>
  <c r="I163" i="2"/>
  <c r="I162" i="2"/>
  <c r="I161" i="2"/>
  <c r="I160" i="2"/>
  <c r="I159" i="2"/>
  <c r="I158" i="2"/>
  <c r="F157" i="2"/>
  <c r="I157" i="2"/>
  <c r="F156" i="2"/>
  <c r="I156" i="2"/>
  <c r="I155" i="2"/>
  <c r="I154" i="2"/>
  <c r="I153" i="2"/>
  <c r="I152" i="2"/>
  <c r="I150" i="2"/>
  <c r="I149" i="2"/>
  <c r="I148" i="2"/>
  <c r="I147" i="2"/>
  <c r="I146" i="2"/>
  <c r="I145" i="2"/>
  <c r="I144" i="2"/>
  <c r="I143" i="2"/>
  <c r="I142" i="2"/>
  <c r="I141" i="2"/>
  <c r="I140" i="2"/>
  <c r="I139" i="2"/>
  <c r="F137" i="2"/>
  <c r="E137" i="2"/>
  <c r="F136" i="2"/>
  <c r="E136" i="2"/>
  <c r="F135" i="2"/>
  <c r="E135" i="2"/>
  <c r="F134" i="2"/>
  <c r="E134" i="2"/>
  <c r="F133" i="2"/>
  <c r="E133" i="2"/>
  <c r="F132" i="2"/>
  <c r="E132" i="2"/>
  <c r="I131" i="2"/>
  <c r="I130" i="2"/>
  <c r="I129" i="2"/>
  <c r="I128" i="2"/>
  <c r="I127" i="2"/>
  <c r="I126" i="2"/>
  <c r="I124" i="2"/>
  <c r="I123" i="2"/>
  <c r="I122" i="2"/>
  <c r="I121" i="2"/>
  <c r="I120" i="2"/>
  <c r="I119" i="2"/>
  <c r="I118" i="2"/>
  <c r="I117" i="2"/>
  <c r="I116" i="2"/>
  <c r="I115" i="2"/>
  <c r="I114" i="2"/>
  <c r="I113" i="2"/>
  <c r="I111" i="2"/>
  <c r="I110" i="2"/>
  <c r="I109" i="2"/>
  <c r="I108" i="2"/>
  <c r="I107" i="2"/>
  <c r="I106" i="2"/>
  <c r="I105" i="2"/>
  <c r="E104" i="2"/>
  <c r="I104" i="2"/>
  <c r="I103" i="2"/>
  <c r="I102" i="2"/>
  <c r="I101" i="2"/>
  <c r="I100" i="2"/>
  <c r="I98" i="2"/>
  <c r="I97" i="2"/>
  <c r="I96" i="2"/>
  <c r="I95" i="2"/>
  <c r="I94" i="2"/>
  <c r="I93" i="2"/>
  <c r="I92" i="2"/>
  <c r="I91" i="2"/>
  <c r="I90" i="2"/>
  <c r="I89" i="2"/>
  <c r="I88" i="2"/>
  <c r="I87" i="2"/>
  <c r="I85" i="2"/>
  <c r="I84" i="2"/>
  <c r="I83" i="2"/>
  <c r="I82" i="2"/>
  <c r="I81" i="2"/>
  <c r="I80" i="2"/>
  <c r="I79" i="2"/>
  <c r="I78" i="2"/>
  <c r="I77" i="2"/>
  <c r="I76" i="2"/>
  <c r="I75" i="2"/>
  <c r="I74" i="2"/>
  <c r="I72" i="2"/>
  <c r="I71" i="2"/>
  <c r="I70" i="2"/>
  <c r="I69" i="2"/>
  <c r="I68" i="2"/>
  <c r="I67" i="2"/>
  <c r="I66" i="2"/>
  <c r="I65" i="2"/>
  <c r="I64" i="2"/>
  <c r="I63" i="2"/>
  <c r="I62" i="2"/>
  <c r="I61" i="2"/>
  <c r="I59" i="2"/>
  <c r="I58" i="2"/>
  <c r="I57" i="2"/>
  <c r="I56" i="2"/>
  <c r="I55" i="2"/>
  <c r="I54" i="2"/>
  <c r="I53" i="2"/>
  <c r="I52" i="2"/>
  <c r="I51" i="2"/>
  <c r="I50" i="2"/>
  <c r="I49" i="2"/>
  <c r="I48" i="2"/>
  <c r="I46" i="2"/>
  <c r="I45" i="2"/>
  <c r="I44" i="2"/>
  <c r="I43" i="2"/>
  <c r="I42" i="2"/>
  <c r="I41" i="2"/>
  <c r="I40" i="2"/>
  <c r="I39" i="2"/>
  <c r="I38" i="2"/>
  <c r="I37" i="2"/>
  <c r="I36" i="2"/>
  <c r="I35" i="2"/>
  <c r="I18" i="2"/>
  <c r="I16" i="2"/>
  <c r="I14" i="2"/>
  <c r="I12" i="2"/>
  <c r="I10" i="2"/>
  <c r="I8" i="2"/>
  <c r="G20" i="8"/>
  <c r="F20" i="8"/>
  <c r="F19" i="8"/>
  <c r="K19" i="8"/>
  <c r="F18" i="8"/>
  <c r="K18" i="8"/>
  <c r="F17" i="8"/>
  <c r="K17" i="8"/>
  <c r="F16" i="8"/>
  <c r="F15" i="8"/>
  <c r="K15" i="8"/>
  <c r="F14" i="8"/>
  <c r="K14" i="8"/>
  <c r="F13" i="8"/>
  <c r="K13" i="8"/>
  <c r="F12" i="8"/>
  <c r="K12" i="8"/>
  <c r="F11" i="8"/>
  <c r="K11" i="8"/>
  <c r="F9" i="8"/>
  <c r="K9" i="8"/>
  <c r="K10" i="8"/>
  <c r="K16" i="8"/>
  <c r="K173" i="8"/>
  <c r="K175" i="8"/>
  <c r="K123" i="8"/>
  <c r="K152" i="8"/>
  <c r="K155" i="8"/>
  <c r="K124" i="8"/>
  <c r="K122" i="8"/>
  <c r="K165" i="8"/>
  <c r="K149" i="8"/>
  <c r="K20" i="8"/>
  <c r="K174" i="8"/>
  <c r="I137" i="2"/>
  <c r="I132" i="2"/>
  <c r="I134" i="2"/>
  <c r="I135" i="2"/>
  <c r="I136" i="2"/>
  <c r="K150" i="8"/>
  <c r="K167" i="8"/>
  <c r="K172" i="8"/>
  <c r="K176" i="8"/>
  <c r="I133" i="2"/>
  <c r="K148" i="8"/>
  <c r="K153" i="8"/>
</calcChain>
</file>

<file path=xl/sharedStrings.xml><?xml version="1.0" encoding="utf-8"?>
<sst xmlns="http://schemas.openxmlformats.org/spreadsheetml/2006/main" count="594" uniqueCount="83">
  <si>
    <t>Other</t>
  </si>
  <si>
    <t>End of</t>
  </si>
  <si>
    <t>Vault</t>
  </si>
  <si>
    <t>Treasury</t>
  </si>
  <si>
    <t>Foreign</t>
  </si>
  <si>
    <t>Period</t>
  </si>
  <si>
    <t>Cash</t>
  </si>
  <si>
    <t>Bills</t>
  </si>
  <si>
    <t>Notes</t>
  </si>
  <si>
    <t>Holdings</t>
  </si>
  <si>
    <t>1981</t>
  </si>
  <si>
    <t>1982</t>
  </si>
  <si>
    <t>1983</t>
  </si>
  <si>
    <t>1984</t>
  </si>
  <si>
    <t>1985</t>
  </si>
  <si>
    <t>1986</t>
  </si>
  <si>
    <t>1987</t>
  </si>
  <si>
    <t>1988</t>
  </si>
  <si>
    <t>1989</t>
  </si>
  <si>
    <t>1990</t>
  </si>
  <si>
    <t>1991</t>
  </si>
  <si>
    <t>1992</t>
  </si>
  <si>
    <t>1993</t>
  </si>
  <si>
    <t>1994</t>
  </si>
  <si>
    <t>1995</t>
  </si>
  <si>
    <t>1996</t>
  </si>
  <si>
    <t>1997</t>
  </si>
  <si>
    <t>1998</t>
  </si>
  <si>
    <t>1999</t>
  </si>
  <si>
    <t>2000</t>
  </si>
  <si>
    <t xml:space="preserve">       $'000</t>
  </si>
  <si>
    <t>Total</t>
  </si>
  <si>
    <t>2001</t>
  </si>
  <si>
    <t>1977</t>
  </si>
  <si>
    <t>1978</t>
  </si>
  <si>
    <t>1979</t>
  </si>
  <si>
    <t>1980</t>
  </si>
  <si>
    <t xml:space="preserve">   $'000</t>
  </si>
  <si>
    <t>2002</t>
  </si>
  <si>
    <t>Notes and Coins</t>
  </si>
  <si>
    <t xml:space="preserve">Local </t>
  </si>
  <si>
    <t>Currency</t>
  </si>
  <si>
    <t>Residential</t>
  </si>
  <si>
    <t>Construction</t>
  </si>
  <si>
    <t>2003</t>
  </si>
  <si>
    <t>2004</t>
  </si>
  <si>
    <t>2005</t>
  </si>
  <si>
    <t>2008</t>
  </si>
  <si>
    <t>2009</t>
  </si>
  <si>
    <t>Refers to figures used in the calculation of statutory liquidity. Average deposit liabilities are the averages of deposit liabilities on the four Wednesdays ending in the penultimate Wednesday of the previous month.  All holdings of liquid assets are monthly averages derived from returns for each Wednesday in the current month.</t>
  </si>
  <si>
    <t>2014</t>
  </si>
  <si>
    <t>Dec</t>
  </si>
  <si>
    <t>Jan</t>
  </si>
  <si>
    <t>Feb</t>
  </si>
  <si>
    <t>Mar</t>
  </si>
  <si>
    <t>Apr</t>
  </si>
  <si>
    <t>May</t>
  </si>
  <si>
    <t>June</t>
  </si>
  <si>
    <t>July</t>
  </si>
  <si>
    <t>Aug</t>
  </si>
  <si>
    <t>Oct</t>
  </si>
  <si>
    <t>Nov</t>
  </si>
  <si>
    <t xml:space="preserve"> Other Approved Assets</t>
  </si>
  <si>
    <t>Balances with</t>
  </si>
  <si>
    <t>Other Local</t>
  </si>
  <si>
    <t>Central Bank</t>
  </si>
  <si>
    <t>Loans for New</t>
  </si>
  <si>
    <t>Sept</t>
  </si>
  <si>
    <t>(ii) Loans to Government;</t>
  </si>
  <si>
    <t>(i) Government of Belize Treasury Notes;</t>
  </si>
  <si>
    <t xml:space="preserve">and (iv) Current portion of some Term Loans among others. </t>
  </si>
  <si>
    <t>However, as of 1 January 2013, the new Domestic Banking and Financial Institution Act (DBFIA), section 40 (4) no longer makes provision for the CBB to declare these assets:  Government of Belize Treasury Notes;  Loans to Government;  Loans to Statutory Bodies and  current portion of some Term Loans among others as liquid assets.</t>
  </si>
  <si>
    <t xml:space="preserve">(iii) Loans to Statutory Bodies; </t>
  </si>
  <si>
    <t>TABLE 10 DOMESTIC BANKS: LIQUID ASSETS (MONTHLY AVERAGE)</t>
  </si>
  <si>
    <t>2015</t>
  </si>
  <si>
    <r>
      <t>Other Local Holdings</t>
    </r>
    <r>
      <rPr>
        <sz val="12"/>
        <rFont val="Arial"/>
        <family val="2"/>
      </rPr>
      <t>: Net balances with local licensed banks and other financial institutions maturing within 90 days; cheques and other sight drafts in course of collection in Belize and inland bills of exchange payable within 90 days.</t>
    </r>
  </si>
  <si>
    <r>
      <t>Foreign Holdings</t>
    </r>
    <r>
      <rPr>
        <sz val="12"/>
        <rFont val="Arial"/>
        <family val="2"/>
      </rPr>
      <t>: Net foreign balances and money at call due within 90 days.</t>
    </r>
  </si>
  <si>
    <r>
      <t>Other Approved</t>
    </r>
    <r>
      <rPr>
        <u/>
        <sz val="12"/>
        <rFont val="Arial"/>
        <family val="2"/>
      </rPr>
      <t xml:space="preserve"> </t>
    </r>
    <r>
      <rPr>
        <b/>
        <u/>
        <sz val="12"/>
        <rFont val="Arial"/>
        <family val="2"/>
      </rPr>
      <t>Assets</t>
    </r>
    <r>
      <rPr>
        <sz val="12"/>
        <rFont val="Arial"/>
        <family val="2"/>
      </rPr>
      <t>:Section 14(4)(i) of the Bank &amp; Financial Institutions Act, 1995 and Revised Edition 2000 confers upon the Central Bank the power to declare after consultation with licensees, any other assets as approved liquid. In addition, the Central Bank may also declare, by notice in writing, any of the assets described in this subsection to have ceased to qualify as approved liquid assets. Figures reported under this heading included:</t>
    </r>
  </si>
  <si>
    <t>2016</t>
  </si>
  <si>
    <t>2017</t>
  </si>
  <si>
    <t>2018</t>
  </si>
  <si>
    <t>2019</t>
  </si>
  <si>
    <r>
      <rPr>
        <b/>
        <u/>
        <sz val="12"/>
        <rFont val="Arial"/>
        <family val="2"/>
      </rPr>
      <t>Required Minimum Liquidity</t>
    </r>
    <r>
      <rPr>
        <sz val="12"/>
        <rFont val="Arial"/>
        <family val="2"/>
      </rPr>
      <t>: In December 2004, the Central Bank raised the cash reserve and secondary liquid asset requirements from 6.0% to 7.0% and from 19.0% to 20.0%, respectively. In May 2005, the cash reserve and secondary liquid asset requirements were raised from 7.0% to 8.0% and from 20.0% to 21.0%, respectively. In January 2006, the cash reserve and secondary liquid asset requirements were raised from 8.0% to 9.0% and from 21.0% to 22.0%, respectively. In September 2006, the cash reserve and secondary liquid asset requirements were raised from 9.0% to 10.0% and from 22.0% to 23.0%, respectively. In May 2010, the cash reserve requirements were reduced from 10.0% to 8.5%, while the liquid asset requirement remained at 23.0%. In April 2021, the cash reserve and secondary liquid asset requirements were reduced from 8.5% to 6.5% and from 23.0% to 21.0%, respectively</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</si>
</sst>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0_)"/>
    <numFmt numFmtId="165" formatCode="_(* #,##0_);_(* \(#,##0\);_(* &quot;-&quot;??_);_(@_)"/>
    <numFmt numFmtId="166" formatCode="#,##0.0_);\(#,##0.0\)"/>
  </numFmts>
  <fonts count="13">
    <font>
      <sz val="10"/>
      <name val="Courier"/>
    </font>
    <font>
      <sz val="12"/>
      <name val="Times New Roman"/>
      <family val="1"/>
    </font>
    <font>
      <sz val="10"/>
      <name val="Arial"/>
      <family val="2"/>
    </font>
    <font>
      <sz val="10"/>
      <name val="Courier"/>
      <family val="3"/>
    </font>
    <font>
      <b/>
      <sz val="10"/>
      <name val="Arial"/>
      <family val="2"/>
    </font>
    <font>
      <b/>
      <sz val="10"/>
      <name val="Arial (PCL6)"/>
      <family val="2"/>
    </font>
    <font>
      <sz val="13"/>
      <name val="Courier"/>
      <family val="3"/>
    </font>
    <font>
      <b/>
      <sz val="10"/>
      <name val="Courier"/>
      <family val="3"/>
    </font>
    <font>
      <b/>
      <sz val="12"/>
      <name val="Arial"/>
      <family val="2"/>
    </font>
    <font>
      <sz val="12"/>
      <name val="Arial"/>
      <family val="2"/>
    </font>
    <font>
      <b/>
      <u/>
      <sz val="12"/>
      <name val="Arial"/>
      <family val="2"/>
    </font>
    <font>
      <u/>
      <sz val="12"/>
      <name val="Arial"/>
      <family val="2"/>
    </font>
    <font>
      <sz val="10"/>
      <color theme="1" tint="4.9989318521683403E-2"/>
      <name val="Arial"/>
      <family val="2"/>
    </font>
  </fonts>
  <fills count="3">
    <fill>
      <patternFill patternType="none"/>
    </fill>
    <fill>
      <patternFill patternType="gray125"/>
    </fill>
    <fill>
      <patternFill patternType="solid">
        <fgColor theme="0"/>
        <bgColor indexed="64"/>
      </patternFill>
    </fill>
  </fills>
  <borders count="8">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s>
  <cellStyleXfs count="2">
    <xf numFmtId="37" fontId="0" fillId="0" borderId="0"/>
    <xf numFmtId="43" fontId="1" fillId="0" borderId="0" applyFont="0" applyFill="0" applyBorder="0" applyAlignment="0" applyProtection="0"/>
  </cellStyleXfs>
  <cellXfs count="48">
    <xf numFmtId="37" fontId="0" fillId="0" borderId="0" xfId="0"/>
    <xf numFmtId="37" fontId="3" fillId="0" borderId="0" xfId="0" applyFont="1"/>
    <xf numFmtId="37" fontId="4" fillId="0" borderId="2" xfId="0" applyFont="1" applyBorder="1" applyAlignment="1">
      <alignment horizontal="center"/>
    </xf>
    <xf numFmtId="37" fontId="4" fillId="0" borderId="3" xfId="0" applyFont="1" applyBorder="1" applyAlignment="1">
      <alignment horizontal="center"/>
    </xf>
    <xf numFmtId="37" fontId="4" fillId="0" borderId="3" xfId="0" quotePrefix="1" applyFont="1" applyBorder="1" applyAlignment="1">
      <alignment horizontal="center"/>
    </xf>
    <xf numFmtId="37" fontId="5" fillId="0" borderId="0" xfId="0" quotePrefix="1" applyFont="1" applyAlignment="1">
      <alignment horizontal="left"/>
    </xf>
    <xf numFmtId="37" fontId="2" fillId="0" borderId="0" xfId="0" applyFont="1" applyAlignment="1">
      <alignment horizontal="fill"/>
    </xf>
    <xf numFmtId="37" fontId="2" fillId="0" borderId="1" xfId="0" applyFont="1" applyBorder="1" applyAlignment="1">
      <alignment horizontal="fill"/>
    </xf>
    <xf numFmtId="37" fontId="4" fillId="0" borderId="4" xfId="0" quotePrefix="1" applyFont="1" applyBorder="1" applyAlignment="1">
      <alignment horizontal="centerContinuous"/>
    </xf>
    <xf numFmtId="37" fontId="2" fillId="0" borderId="5" xfId="0" applyFont="1" applyBorder="1" applyAlignment="1">
      <alignment horizontal="centerContinuous"/>
    </xf>
    <xf numFmtId="37" fontId="4" fillId="0" borderId="6" xfId="0" quotePrefix="1" applyFont="1" applyBorder="1" applyAlignment="1">
      <alignment horizontal="centerContinuous"/>
    </xf>
    <xf numFmtId="37" fontId="2" fillId="0" borderId="7" xfId="0" applyFont="1" applyBorder="1" applyAlignment="1">
      <alignment horizontal="centerContinuous"/>
    </xf>
    <xf numFmtId="37" fontId="4" fillId="0" borderId="1" xfId="0" applyFont="1" applyBorder="1"/>
    <xf numFmtId="37" fontId="4" fillId="0" borderId="2" xfId="0" quotePrefix="1" applyFont="1" applyBorder="1" applyAlignment="1">
      <alignment horizontal="center"/>
    </xf>
    <xf numFmtId="165" fontId="2" fillId="0" borderId="0" xfId="1" applyNumberFormat="1" applyFont="1" applyBorder="1"/>
    <xf numFmtId="37" fontId="6" fillId="0" borderId="0" xfId="0" applyFont="1"/>
    <xf numFmtId="37" fontId="7" fillId="0" borderId="0" xfId="0" applyFont="1"/>
    <xf numFmtId="37" fontId="4" fillId="0" borderId="0" xfId="0" applyFont="1"/>
    <xf numFmtId="37" fontId="2" fillId="0" borderId="0" xfId="0" applyFont="1"/>
    <xf numFmtId="37" fontId="4" fillId="0" borderId="0" xfId="0" quotePrefix="1" applyFont="1" applyAlignment="1">
      <alignment horizontal="left"/>
    </xf>
    <xf numFmtId="37" fontId="2" fillId="0" borderId="0" xfId="0" applyFont="1" applyAlignment="1">
      <alignment horizontal="right"/>
    </xf>
    <xf numFmtId="165" fontId="2" fillId="0" borderId="0" xfId="1" applyNumberFormat="1" applyFont="1" applyFill="1" applyBorder="1"/>
    <xf numFmtId="1" fontId="4" fillId="0" borderId="0" xfId="1" quotePrefix="1" applyNumberFormat="1" applyFont="1" applyBorder="1" applyAlignment="1">
      <alignment horizontal="left"/>
    </xf>
    <xf numFmtId="3" fontId="2" fillId="0" borderId="0" xfId="0" quotePrefix="1" applyNumberFormat="1" applyFont="1" applyAlignment="1">
      <alignment horizontal="left"/>
    </xf>
    <xf numFmtId="37" fontId="4" fillId="0" borderId="0" xfId="0" applyFont="1" applyAlignment="1">
      <alignment horizontal="right"/>
    </xf>
    <xf numFmtId="166" fontId="2" fillId="0" borderId="0" xfId="0" applyNumberFormat="1" applyFont="1"/>
    <xf numFmtId="166" fontId="3" fillId="0" borderId="0" xfId="0" applyNumberFormat="1" applyFont="1"/>
    <xf numFmtId="37" fontId="9" fillId="0" borderId="0" xfId="0" applyFont="1"/>
    <xf numFmtId="37" fontId="9" fillId="2" borderId="0" xfId="0" applyFont="1" applyFill="1" applyAlignment="1">
      <alignment horizontal="justify"/>
    </xf>
    <xf numFmtId="37" fontId="9" fillId="2" borderId="0" xfId="0" applyFont="1" applyFill="1"/>
    <xf numFmtId="37" fontId="12" fillId="0" borderId="0" xfId="0" applyFont="1"/>
    <xf numFmtId="0" fontId="4" fillId="0" borderId="0" xfId="0" quotePrefix="1" applyNumberFormat="1" applyFont="1" applyAlignment="1">
      <alignment horizontal="left"/>
    </xf>
    <xf numFmtId="37" fontId="4" fillId="0" borderId="0" xfId="0" quotePrefix="1" applyFont="1" applyAlignment="1">
      <alignment horizontal="right"/>
    </xf>
    <xf numFmtId="37" fontId="4" fillId="0" borderId="1" xfId="0" applyFont="1" applyBorder="1" applyAlignment="1">
      <alignment horizontal="center"/>
    </xf>
    <xf numFmtId="37" fontId="4" fillId="0" borderId="3" xfId="0" applyFont="1" applyBorder="1" applyAlignment="1">
      <alignment horizontal="center" vertical="center"/>
    </xf>
    <xf numFmtId="37" fontId="2" fillId="0" borderId="0" xfId="0" applyFont="1" applyAlignment="1">
      <alignment horizontal="left"/>
    </xf>
    <xf numFmtId="164" fontId="4" fillId="0" borderId="0" xfId="0" applyNumberFormat="1" applyFont="1"/>
    <xf numFmtId="37" fontId="3" fillId="0" borderId="0" xfId="0" applyFont="1" applyAlignment="1">
      <alignment wrapText="1"/>
    </xf>
    <xf numFmtId="37" fontId="8" fillId="0" borderId="0" xfId="0" applyFont="1" applyAlignment="1">
      <alignment horizontal="center"/>
    </xf>
    <xf numFmtId="37" fontId="9" fillId="0" borderId="0" xfId="0" applyFont="1" applyAlignment="1">
      <alignment horizontal="center"/>
    </xf>
    <xf numFmtId="37" fontId="4" fillId="0" borderId="4" xfId="0" applyFont="1" applyBorder="1" applyAlignment="1">
      <alignment horizontal="center"/>
    </xf>
    <xf numFmtId="37" fontId="4" fillId="0" borderId="5" xfId="0" applyFont="1" applyBorder="1" applyAlignment="1">
      <alignment horizontal="center"/>
    </xf>
    <xf numFmtId="37" fontId="9" fillId="2" borderId="0" xfId="0" applyFont="1" applyFill="1" applyAlignment="1">
      <alignment horizontal="left" vertical="top" wrapText="1"/>
    </xf>
    <xf numFmtId="37" fontId="9" fillId="0" borderId="0" xfId="0" applyFont="1" applyAlignment="1">
      <alignment horizontal="left" vertical="top" wrapText="1"/>
    </xf>
    <xf numFmtId="37" fontId="10" fillId="2" borderId="0" xfId="0" applyFont="1" applyFill="1" applyAlignment="1">
      <alignment horizontal="center"/>
    </xf>
    <xf numFmtId="37" fontId="9" fillId="2" borderId="0" xfId="0" applyFont="1" applyFill="1" applyAlignment="1">
      <alignment horizontal="left" wrapText="1"/>
    </xf>
    <xf numFmtId="37" fontId="10" fillId="2" borderId="0" xfId="0" applyFont="1" applyFill="1" applyAlignment="1">
      <alignment horizontal="left" wrapText="1"/>
    </xf>
    <xf numFmtId="37" fontId="10" fillId="2" borderId="0" xfId="0" applyFont="1" applyFill="1" applyAlignment="1">
      <alignment horizontal="left" vertical="top" wrapText="1"/>
    </xf>
  </cellXfs>
  <cellStyles count="2">
    <cellStyle name="Comma" xfId="1" builtinId="3"/>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ransitionEvaluation="1"/>
  <dimension ref="A1:I217"/>
  <sheetViews>
    <sheetView showGridLines="0" zoomScaleNormal="100" zoomScaleSheetLayoutView="100" workbookViewId="0">
      <pane xSplit="1" ySplit="6" topLeftCell="B7" activePane="bottomRight" state="frozen"/>
      <selection pane="topRight" activeCell="B1" sqref="B1"/>
      <selection pane="bottomLeft" activeCell="A11" sqref="A11"/>
      <selection pane="bottomRight" activeCell="C10" sqref="C10"/>
    </sheetView>
  </sheetViews>
  <sheetFormatPr defaultColWidth="9.58203125" defaultRowHeight="12.5"/>
  <cols>
    <col min="1" max="1" width="9" style="1" customWidth="1"/>
    <col min="2" max="2" width="10.08203125" style="1" customWidth="1"/>
    <col min="3" max="3" width="13.5" style="1" customWidth="1"/>
    <col min="4" max="4" width="12.33203125" style="1" customWidth="1"/>
    <col min="5" max="5" width="11.25" style="1" customWidth="1"/>
    <col min="6" max="6" width="12.58203125" style="1" customWidth="1"/>
    <col min="7" max="7" width="11.83203125" style="1" customWidth="1"/>
    <col min="8" max="8" width="10.83203125" style="1" customWidth="1"/>
    <col min="9" max="9" width="12.25" style="1" customWidth="1"/>
    <col min="10" max="16384" width="9.58203125" style="1"/>
  </cols>
  <sheetData>
    <row r="1" spans="1:9" s="15" customFormat="1" ht="16.5">
      <c r="A1" s="38" t="s">
        <v>73</v>
      </c>
      <c r="B1" s="39"/>
      <c r="C1" s="39"/>
      <c r="D1" s="39"/>
      <c r="E1" s="39"/>
      <c r="F1" s="39"/>
      <c r="G1" s="39"/>
      <c r="H1" s="39"/>
      <c r="I1" s="39"/>
    </row>
    <row r="2" spans="1:9">
      <c r="A2" s="18"/>
      <c r="B2" s="18"/>
      <c r="C2" s="18"/>
      <c r="D2" s="18"/>
      <c r="E2" s="18"/>
      <c r="F2" s="18"/>
      <c r="G2" s="18"/>
      <c r="H2" s="18"/>
      <c r="I2" s="18"/>
    </row>
    <row r="3" spans="1:9" ht="13">
      <c r="A3" s="18"/>
      <c r="B3" s="18"/>
      <c r="C3" s="18"/>
      <c r="D3" s="18"/>
      <c r="E3" s="18"/>
      <c r="F3" s="18"/>
      <c r="G3" s="18"/>
      <c r="H3" s="18"/>
      <c r="I3" s="32" t="s">
        <v>30</v>
      </c>
    </row>
    <row r="4" spans="1:9" ht="18.75" customHeight="1">
      <c r="A4" s="33"/>
      <c r="B4" s="33"/>
      <c r="C4" s="33"/>
      <c r="D4" s="33"/>
      <c r="E4" s="33"/>
      <c r="F4" s="33"/>
      <c r="G4" s="40" t="s">
        <v>62</v>
      </c>
      <c r="H4" s="41"/>
      <c r="I4" s="33"/>
    </row>
    <row r="5" spans="1:9" ht="15.75" customHeight="1">
      <c r="A5" s="2" t="s">
        <v>1</v>
      </c>
      <c r="B5" s="2" t="s">
        <v>2</v>
      </c>
      <c r="C5" s="13" t="s">
        <v>63</v>
      </c>
      <c r="D5" s="2" t="s">
        <v>3</v>
      </c>
      <c r="E5" s="2" t="s">
        <v>64</v>
      </c>
      <c r="F5" s="2" t="s">
        <v>4</v>
      </c>
      <c r="G5" s="2" t="s">
        <v>3</v>
      </c>
      <c r="H5" s="2"/>
      <c r="I5" s="2"/>
    </row>
    <row r="6" spans="1:9" ht="15" customHeight="1">
      <c r="A6" s="3" t="s">
        <v>5</v>
      </c>
      <c r="B6" s="3" t="s">
        <v>6</v>
      </c>
      <c r="C6" s="4" t="s">
        <v>65</v>
      </c>
      <c r="D6" s="3" t="s">
        <v>7</v>
      </c>
      <c r="E6" s="3" t="s">
        <v>9</v>
      </c>
      <c r="F6" s="3" t="s">
        <v>9</v>
      </c>
      <c r="G6" s="3" t="s">
        <v>8</v>
      </c>
      <c r="H6" s="34" t="s">
        <v>0</v>
      </c>
      <c r="I6" s="4" t="s">
        <v>31</v>
      </c>
    </row>
    <row r="7" spans="1:9" ht="15" customHeight="1">
      <c r="A7" s="17" t="s">
        <v>33</v>
      </c>
      <c r="B7" s="18"/>
      <c r="C7" s="18"/>
      <c r="D7" s="18"/>
      <c r="E7" s="18"/>
      <c r="F7" s="18"/>
      <c r="G7" s="18"/>
      <c r="H7" s="18"/>
      <c r="I7" s="18"/>
    </row>
    <row r="8" spans="1:9">
      <c r="A8" s="23" t="s">
        <v>51</v>
      </c>
      <c r="B8" s="18">
        <v>2510</v>
      </c>
      <c r="C8" s="18">
        <v>3903</v>
      </c>
      <c r="D8" s="18">
        <v>2326</v>
      </c>
      <c r="E8" s="18">
        <v>420</v>
      </c>
      <c r="F8" s="18">
        <v>2338</v>
      </c>
      <c r="G8" s="18">
        <v>0</v>
      </c>
      <c r="H8" s="18">
        <v>10221</v>
      </c>
      <c r="I8" s="18">
        <f>SUM(B8:H8)</f>
        <v>21718</v>
      </c>
    </row>
    <row r="9" spans="1:9" ht="13">
      <c r="A9" s="17" t="s">
        <v>34</v>
      </c>
      <c r="B9" s="18"/>
      <c r="C9" s="18"/>
      <c r="D9" s="18"/>
      <c r="E9" s="18"/>
      <c r="F9" s="18"/>
      <c r="G9" s="18"/>
      <c r="H9" s="18"/>
      <c r="I9" s="18"/>
    </row>
    <row r="10" spans="1:9">
      <c r="A10" s="23" t="s">
        <v>51</v>
      </c>
      <c r="B10" s="18">
        <v>3157</v>
      </c>
      <c r="C10" s="18">
        <v>5832</v>
      </c>
      <c r="D10" s="18">
        <v>8008</v>
      </c>
      <c r="E10" s="18">
        <v>461</v>
      </c>
      <c r="F10" s="18">
        <v>3948</v>
      </c>
      <c r="G10" s="18">
        <v>0</v>
      </c>
      <c r="H10" s="18">
        <v>6163</v>
      </c>
      <c r="I10" s="18">
        <f>SUM(B10:H10)</f>
        <v>27569</v>
      </c>
    </row>
    <row r="11" spans="1:9" ht="13">
      <c r="A11" s="17" t="s">
        <v>35</v>
      </c>
      <c r="B11" s="18"/>
      <c r="C11" s="18"/>
      <c r="D11" s="18"/>
      <c r="E11" s="18"/>
      <c r="F11" s="18"/>
      <c r="G11" s="18"/>
      <c r="H11" s="18"/>
      <c r="I11" s="18"/>
    </row>
    <row r="12" spans="1:9">
      <c r="A12" s="23" t="s">
        <v>51</v>
      </c>
      <c r="B12" s="18">
        <v>2878</v>
      </c>
      <c r="C12" s="18">
        <v>8311</v>
      </c>
      <c r="D12" s="18">
        <v>150</v>
      </c>
      <c r="E12" s="18">
        <v>568</v>
      </c>
      <c r="F12" s="18">
        <v>121</v>
      </c>
      <c r="G12" s="18">
        <v>0</v>
      </c>
      <c r="H12" s="18">
        <v>9920</v>
      </c>
      <c r="I12" s="18">
        <f>SUM(B12:H12)</f>
        <v>21948</v>
      </c>
    </row>
    <row r="13" spans="1:9" ht="13">
      <c r="A13" s="17" t="s">
        <v>36</v>
      </c>
      <c r="B13" s="18"/>
      <c r="C13" s="18"/>
      <c r="D13" s="18"/>
      <c r="E13" s="18"/>
      <c r="F13" s="18"/>
      <c r="G13" s="18"/>
      <c r="H13" s="18"/>
      <c r="I13" s="18"/>
    </row>
    <row r="14" spans="1:9">
      <c r="A14" s="23" t="s">
        <v>51</v>
      </c>
      <c r="B14" s="18">
        <v>3591</v>
      </c>
      <c r="C14" s="18">
        <v>5834</v>
      </c>
      <c r="D14" s="18">
        <v>5478</v>
      </c>
      <c r="E14" s="18">
        <v>777</v>
      </c>
      <c r="F14" s="18">
        <v>4849</v>
      </c>
      <c r="G14" s="18">
        <v>0</v>
      </c>
      <c r="H14" s="18">
        <v>5416</v>
      </c>
      <c r="I14" s="18">
        <f>SUM(B14:H14)</f>
        <v>25945</v>
      </c>
    </row>
    <row r="15" spans="1:9" ht="13">
      <c r="A15" s="17" t="s">
        <v>10</v>
      </c>
      <c r="B15" s="18"/>
      <c r="C15" s="18"/>
      <c r="D15" s="18"/>
      <c r="E15" s="18"/>
      <c r="F15" s="18"/>
      <c r="G15" s="18"/>
      <c r="H15" s="18"/>
      <c r="I15" s="18"/>
    </row>
    <row r="16" spans="1:9">
      <c r="A16" s="23" t="s">
        <v>51</v>
      </c>
      <c r="B16" s="18">
        <v>3839</v>
      </c>
      <c r="C16" s="18">
        <v>6324</v>
      </c>
      <c r="D16" s="18">
        <v>2423</v>
      </c>
      <c r="E16" s="18">
        <v>1560</v>
      </c>
      <c r="F16" s="18">
        <v>7075</v>
      </c>
      <c r="G16" s="18">
        <v>0</v>
      </c>
      <c r="H16" s="18">
        <v>6072</v>
      </c>
      <c r="I16" s="18">
        <f>SUM(B16:H16)</f>
        <v>27293</v>
      </c>
    </row>
    <row r="17" spans="1:9" ht="13">
      <c r="A17" s="17" t="s">
        <v>11</v>
      </c>
      <c r="B17" s="18"/>
      <c r="C17" s="18"/>
      <c r="D17" s="18"/>
      <c r="E17" s="18"/>
      <c r="F17" s="18"/>
      <c r="G17" s="18"/>
      <c r="H17" s="18"/>
      <c r="I17" s="18"/>
    </row>
    <row r="18" spans="1:9">
      <c r="A18" s="23" t="s">
        <v>51</v>
      </c>
      <c r="B18" s="18">
        <v>3445</v>
      </c>
      <c r="C18" s="18">
        <v>7608</v>
      </c>
      <c r="D18" s="18">
        <v>4982</v>
      </c>
      <c r="E18" s="18">
        <v>829</v>
      </c>
      <c r="F18" s="18">
        <v>9955</v>
      </c>
      <c r="G18" s="18">
        <v>0</v>
      </c>
      <c r="H18" s="18">
        <v>6698</v>
      </c>
      <c r="I18" s="18">
        <f>SUM(B18:H18)</f>
        <v>33517</v>
      </c>
    </row>
    <row r="19" spans="1:9" ht="13">
      <c r="A19" s="17" t="s">
        <v>12</v>
      </c>
      <c r="B19" s="18"/>
      <c r="C19" s="18"/>
      <c r="D19" s="18"/>
      <c r="E19" s="18"/>
      <c r="F19" s="18"/>
      <c r="G19" s="18"/>
      <c r="H19" s="18"/>
      <c r="I19" s="18"/>
    </row>
    <row r="20" spans="1:9">
      <c r="A20" s="35" t="s">
        <v>54</v>
      </c>
      <c r="B20" s="20">
        <v>3798</v>
      </c>
      <c r="C20" s="20">
        <v>8607</v>
      </c>
      <c r="D20" s="20">
        <v>13830</v>
      </c>
      <c r="E20" s="18">
        <v>0</v>
      </c>
      <c r="F20" s="20">
        <v>803</v>
      </c>
      <c r="G20" s="20">
        <v>8960</v>
      </c>
      <c r="H20" s="20">
        <v>5164</v>
      </c>
      <c r="I20" s="20">
        <f>SUM(B20:H20)</f>
        <v>41162</v>
      </c>
    </row>
    <row r="21" spans="1:9">
      <c r="A21" s="35" t="s">
        <v>57</v>
      </c>
      <c r="B21" s="20">
        <v>3859</v>
      </c>
      <c r="C21" s="20">
        <v>9892</v>
      </c>
      <c r="D21" s="20">
        <v>21234</v>
      </c>
      <c r="E21" s="18">
        <v>0</v>
      </c>
      <c r="F21" s="20">
        <v>761</v>
      </c>
      <c r="G21" s="20">
        <v>8104</v>
      </c>
      <c r="H21" s="20">
        <v>5082</v>
      </c>
      <c r="I21" s="20">
        <f>SUM(B21:H21)</f>
        <v>48932</v>
      </c>
    </row>
    <row r="22" spans="1:9">
      <c r="A22" s="35" t="s">
        <v>67</v>
      </c>
      <c r="B22" s="20">
        <v>3746</v>
      </c>
      <c r="C22" s="20">
        <v>8526</v>
      </c>
      <c r="D22" s="20">
        <v>26975</v>
      </c>
      <c r="E22" s="18">
        <v>0</v>
      </c>
      <c r="F22" s="20">
        <v>833</v>
      </c>
      <c r="G22" s="20">
        <v>8829</v>
      </c>
      <c r="H22" s="20">
        <v>4983</v>
      </c>
      <c r="I22" s="20">
        <f>SUM(B22:H22)</f>
        <v>53892</v>
      </c>
    </row>
    <row r="23" spans="1:9">
      <c r="A23" s="35" t="s">
        <v>51</v>
      </c>
      <c r="B23" s="18">
        <v>3719</v>
      </c>
      <c r="C23" s="18">
        <v>8120</v>
      </c>
      <c r="D23" s="18">
        <v>17784</v>
      </c>
      <c r="E23" s="18">
        <v>0</v>
      </c>
      <c r="F23" s="18">
        <v>1256</v>
      </c>
      <c r="G23" s="18">
        <v>10571</v>
      </c>
      <c r="H23" s="18">
        <v>4886</v>
      </c>
      <c r="I23" s="20">
        <f>SUM(B23:H23)</f>
        <v>46336</v>
      </c>
    </row>
    <row r="24" spans="1:9" ht="13">
      <c r="A24" s="17" t="s">
        <v>13</v>
      </c>
      <c r="B24" s="18"/>
      <c r="C24" s="18"/>
      <c r="D24" s="18"/>
      <c r="E24" s="18"/>
      <c r="F24" s="18"/>
      <c r="G24" s="18"/>
      <c r="H24" s="18"/>
      <c r="I24" s="18"/>
    </row>
    <row r="25" spans="1:9">
      <c r="A25" s="35" t="s">
        <v>54</v>
      </c>
      <c r="B25" s="20">
        <v>3686</v>
      </c>
      <c r="C25" s="20">
        <v>8199</v>
      </c>
      <c r="D25" s="20">
        <v>14680</v>
      </c>
      <c r="E25" s="18">
        <v>0</v>
      </c>
      <c r="F25" s="20">
        <v>836</v>
      </c>
      <c r="G25" s="20">
        <v>12115</v>
      </c>
      <c r="H25" s="20">
        <v>4858</v>
      </c>
      <c r="I25" s="20">
        <f>SUM(B25:H25)</f>
        <v>44374</v>
      </c>
    </row>
    <row r="26" spans="1:9">
      <c r="A26" s="35" t="s">
        <v>57</v>
      </c>
      <c r="B26" s="20">
        <v>3637</v>
      </c>
      <c r="C26" s="20">
        <v>7475</v>
      </c>
      <c r="D26" s="20">
        <v>14347</v>
      </c>
      <c r="E26" s="18">
        <v>0</v>
      </c>
      <c r="F26" s="20">
        <v>431</v>
      </c>
      <c r="G26" s="20">
        <v>11504</v>
      </c>
      <c r="H26" s="20">
        <v>4803</v>
      </c>
      <c r="I26" s="20">
        <f>SUM(B26:H26)</f>
        <v>42197</v>
      </c>
    </row>
    <row r="27" spans="1:9">
      <c r="A27" s="35" t="s">
        <v>67</v>
      </c>
      <c r="B27" s="20">
        <v>4026</v>
      </c>
      <c r="C27" s="20">
        <v>8593</v>
      </c>
      <c r="D27" s="20">
        <v>13243</v>
      </c>
      <c r="E27" s="18">
        <v>0</v>
      </c>
      <c r="F27" s="20">
        <v>733</v>
      </c>
      <c r="G27" s="20">
        <v>8831</v>
      </c>
      <c r="H27" s="20">
        <v>5725</v>
      </c>
      <c r="I27" s="20">
        <f>SUM(B27:H27)</f>
        <v>41151</v>
      </c>
    </row>
    <row r="28" spans="1:9">
      <c r="A28" s="35" t="s">
        <v>51</v>
      </c>
      <c r="B28" s="18">
        <v>3749</v>
      </c>
      <c r="C28" s="18">
        <v>10471</v>
      </c>
      <c r="D28" s="18">
        <v>5456</v>
      </c>
      <c r="E28" s="18">
        <v>0</v>
      </c>
      <c r="F28" s="18">
        <v>1641</v>
      </c>
      <c r="G28" s="18">
        <v>11953</v>
      </c>
      <c r="H28" s="18">
        <v>8667</v>
      </c>
      <c r="I28" s="18">
        <f>SUM(B28:H28)</f>
        <v>41937</v>
      </c>
    </row>
    <row r="29" spans="1:9" ht="13">
      <c r="A29" s="36" t="s">
        <v>14</v>
      </c>
      <c r="B29" s="18"/>
      <c r="C29" s="18"/>
      <c r="D29" s="18"/>
      <c r="E29" s="18"/>
      <c r="F29" s="18"/>
      <c r="G29" s="18"/>
      <c r="H29" s="18"/>
      <c r="I29" s="18"/>
    </row>
    <row r="30" spans="1:9">
      <c r="A30" s="35" t="s">
        <v>54</v>
      </c>
      <c r="B30" s="20">
        <v>4077</v>
      </c>
      <c r="C30" s="20">
        <v>15033</v>
      </c>
      <c r="D30" s="20">
        <v>6596</v>
      </c>
      <c r="E30" s="18">
        <v>0</v>
      </c>
      <c r="F30" s="20">
        <v>524</v>
      </c>
      <c r="G30" s="20">
        <v>15287</v>
      </c>
      <c r="H30" s="20">
        <v>6620</v>
      </c>
      <c r="I30" s="20">
        <f>SUM(B30:H30)</f>
        <v>48137</v>
      </c>
    </row>
    <row r="31" spans="1:9">
      <c r="A31" s="35" t="s">
        <v>57</v>
      </c>
      <c r="B31" s="20">
        <v>3809</v>
      </c>
      <c r="C31" s="20">
        <v>12765</v>
      </c>
      <c r="D31" s="20">
        <v>9384</v>
      </c>
      <c r="E31" s="18">
        <v>0</v>
      </c>
      <c r="F31" s="20">
        <v>2385</v>
      </c>
      <c r="G31" s="20">
        <v>15825</v>
      </c>
      <c r="H31" s="20">
        <v>4425</v>
      </c>
      <c r="I31" s="20">
        <f>SUM(B31:H31)</f>
        <v>48593</v>
      </c>
    </row>
    <row r="32" spans="1:9">
      <c r="A32" s="35" t="s">
        <v>67</v>
      </c>
      <c r="B32" s="20">
        <v>3637</v>
      </c>
      <c r="C32" s="20">
        <v>14207</v>
      </c>
      <c r="D32" s="20">
        <v>16165</v>
      </c>
      <c r="E32" s="18">
        <v>0</v>
      </c>
      <c r="F32" s="20">
        <v>1318</v>
      </c>
      <c r="G32" s="20">
        <v>13567</v>
      </c>
      <c r="H32" s="20">
        <v>4301</v>
      </c>
      <c r="I32" s="20">
        <f>SUM(B32:H32)</f>
        <v>53195</v>
      </c>
    </row>
    <row r="33" spans="1:9">
      <c r="A33" s="35" t="s">
        <v>51</v>
      </c>
      <c r="B33" s="18">
        <v>4085</v>
      </c>
      <c r="C33" s="18">
        <v>14907</v>
      </c>
      <c r="D33" s="18">
        <v>14423</v>
      </c>
      <c r="E33" s="18">
        <v>0</v>
      </c>
      <c r="F33" s="18">
        <v>1653</v>
      </c>
      <c r="G33" s="18">
        <v>13520</v>
      </c>
      <c r="H33" s="18">
        <v>3938</v>
      </c>
      <c r="I33" s="18">
        <f>SUM(B33:H33)</f>
        <v>52526</v>
      </c>
    </row>
    <row r="34" spans="1:9" ht="13">
      <c r="A34" s="36" t="s">
        <v>15</v>
      </c>
      <c r="B34" s="18"/>
      <c r="C34" s="18"/>
      <c r="D34" s="18"/>
      <c r="E34" s="18"/>
      <c r="F34" s="18"/>
      <c r="G34" s="18"/>
      <c r="H34" s="18"/>
      <c r="I34" s="18"/>
    </row>
    <row r="35" spans="1:9">
      <c r="A35" s="23" t="s">
        <v>52</v>
      </c>
      <c r="B35" s="18">
        <v>4038</v>
      </c>
      <c r="C35" s="18">
        <v>15805</v>
      </c>
      <c r="D35" s="18">
        <v>18988</v>
      </c>
      <c r="E35" s="18">
        <v>1619</v>
      </c>
      <c r="F35" s="18">
        <v>14324</v>
      </c>
      <c r="G35" s="18">
        <v>0</v>
      </c>
      <c r="H35" s="18">
        <v>3595</v>
      </c>
      <c r="I35" s="18">
        <f t="shared" ref="I35:I46" si="0">SUM(B35:H35)</f>
        <v>58369</v>
      </c>
    </row>
    <row r="36" spans="1:9">
      <c r="A36" s="23" t="s">
        <v>53</v>
      </c>
      <c r="B36" s="18">
        <v>3980</v>
      </c>
      <c r="C36" s="18">
        <v>16963</v>
      </c>
      <c r="D36" s="18">
        <v>23297</v>
      </c>
      <c r="E36" s="18">
        <v>1395</v>
      </c>
      <c r="F36" s="18">
        <v>14597</v>
      </c>
      <c r="G36" s="18">
        <v>0</v>
      </c>
      <c r="H36" s="18">
        <v>3647</v>
      </c>
      <c r="I36" s="18">
        <f t="shared" si="0"/>
        <v>63879</v>
      </c>
    </row>
    <row r="37" spans="1:9">
      <c r="A37" s="23" t="s">
        <v>54</v>
      </c>
      <c r="B37" s="18">
        <v>3783</v>
      </c>
      <c r="C37" s="18">
        <v>15219</v>
      </c>
      <c r="D37" s="18">
        <v>27709</v>
      </c>
      <c r="E37" s="18">
        <v>1417</v>
      </c>
      <c r="F37" s="18">
        <v>14893</v>
      </c>
      <c r="G37" s="18">
        <v>0</v>
      </c>
      <c r="H37" s="18">
        <v>3576</v>
      </c>
      <c r="I37" s="18">
        <f t="shared" si="0"/>
        <v>66597</v>
      </c>
    </row>
    <row r="38" spans="1:9">
      <c r="A38" s="23" t="s">
        <v>55</v>
      </c>
      <c r="B38" s="18">
        <v>4118</v>
      </c>
      <c r="C38" s="18">
        <v>16205</v>
      </c>
      <c r="D38" s="18">
        <v>30738</v>
      </c>
      <c r="E38" s="18">
        <v>1184</v>
      </c>
      <c r="F38" s="18">
        <v>15801</v>
      </c>
      <c r="G38" s="18">
        <v>0</v>
      </c>
      <c r="H38" s="18">
        <v>3602</v>
      </c>
      <c r="I38" s="18">
        <f t="shared" si="0"/>
        <v>71648</v>
      </c>
    </row>
    <row r="39" spans="1:9">
      <c r="A39" s="23" t="s">
        <v>56</v>
      </c>
      <c r="B39" s="18">
        <v>4022</v>
      </c>
      <c r="C39" s="18">
        <v>18140</v>
      </c>
      <c r="D39" s="18">
        <v>33591</v>
      </c>
      <c r="E39" s="18">
        <v>1397</v>
      </c>
      <c r="F39" s="18">
        <v>14380</v>
      </c>
      <c r="G39" s="18">
        <v>0</v>
      </c>
      <c r="H39" s="18">
        <v>3413</v>
      </c>
      <c r="I39" s="18">
        <f t="shared" si="0"/>
        <v>74943</v>
      </c>
    </row>
    <row r="40" spans="1:9">
      <c r="A40" s="23" t="s">
        <v>57</v>
      </c>
      <c r="B40" s="18">
        <v>3965</v>
      </c>
      <c r="C40" s="18">
        <v>17418</v>
      </c>
      <c r="D40" s="18">
        <v>36405</v>
      </c>
      <c r="E40" s="18">
        <v>1522</v>
      </c>
      <c r="F40" s="18">
        <v>13806</v>
      </c>
      <c r="G40" s="18">
        <v>0</v>
      </c>
      <c r="H40" s="18">
        <v>3344</v>
      </c>
      <c r="I40" s="18">
        <f t="shared" si="0"/>
        <v>76460</v>
      </c>
    </row>
    <row r="41" spans="1:9">
      <c r="A41" s="23" t="s">
        <v>58</v>
      </c>
      <c r="B41" s="18">
        <v>3986</v>
      </c>
      <c r="C41" s="18">
        <v>15857</v>
      </c>
      <c r="D41" s="18">
        <v>36797</v>
      </c>
      <c r="E41" s="18">
        <v>1470</v>
      </c>
      <c r="F41" s="18">
        <v>13151</v>
      </c>
      <c r="G41" s="18">
        <v>0</v>
      </c>
      <c r="H41" s="18">
        <v>3240</v>
      </c>
      <c r="I41" s="18">
        <f t="shared" si="0"/>
        <v>74501</v>
      </c>
    </row>
    <row r="42" spans="1:9">
      <c r="A42" s="23" t="s">
        <v>59</v>
      </c>
      <c r="B42" s="18">
        <v>3879</v>
      </c>
      <c r="C42" s="18">
        <v>16050</v>
      </c>
      <c r="D42" s="18">
        <v>40112</v>
      </c>
      <c r="E42" s="18">
        <v>1654</v>
      </c>
      <c r="F42" s="18">
        <v>12871</v>
      </c>
      <c r="G42" s="18">
        <v>0</v>
      </c>
      <c r="H42" s="18">
        <v>3153</v>
      </c>
      <c r="I42" s="18">
        <f t="shared" si="0"/>
        <v>77719</v>
      </c>
    </row>
    <row r="43" spans="1:9">
      <c r="A43" s="23" t="s">
        <v>67</v>
      </c>
      <c r="B43" s="18">
        <v>4286</v>
      </c>
      <c r="C43" s="18">
        <v>16436</v>
      </c>
      <c r="D43" s="18">
        <v>37177</v>
      </c>
      <c r="E43" s="18">
        <v>1367</v>
      </c>
      <c r="F43" s="18">
        <v>12642</v>
      </c>
      <c r="G43" s="18">
        <v>0</v>
      </c>
      <c r="H43" s="18">
        <v>3092</v>
      </c>
      <c r="I43" s="18">
        <f t="shared" si="0"/>
        <v>75000</v>
      </c>
    </row>
    <row r="44" spans="1:9">
      <c r="A44" s="23" t="s">
        <v>60</v>
      </c>
      <c r="B44" s="18">
        <v>3729</v>
      </c>
      <c r="C44" s="18">
        <v>16592</v>
      </c>
      <c r="D44" s="18">
        <v>34808</v>
      </c>
      <c r="E44" s="18">
        <v>2157</v>
      </c>
      <c r="F44" s="18">
        <v>12423</v>
      </c>
      <c r="G44" s="18">
        <v>0</v>
      </c>
      <c r="H44" s="18">
        <v>3060</v>
      </c>
      <c r="I44" s="18">
        <f t="shared" si="0"/>
        <v>72769</v>
      </c>
    </row>
    <row r="45" spans="1:9">
      <c r="A45" s="23" t="s">
        <v>61</v>
      </c>
      <c r="B45" s="18">
        <v>3693</v>
      </c>
      <c r="C45" s="18">
        <v>15813</v>
      </c>
      <c r="D45" s="18">
        <v>31496</v>
      </c>
      <c r="E45" s="18">
        <v>2094</v>
      </c>
      <c r="F45" s="18">
        <v>13802</v>
      </c>
      <c r="G45" s="18">
        <v>0</v>
      </c>
      <c r="H45" s="18">
        <v>2991</v>
      </c>
      <c r="I45" s="18">
        <f t="shared" si="0"/>
        <v>69889</v>
      </c>
    </row>
    <row r="46" spans="1:9">
      <c r="A46" s="23" t="s">
        <v>51</v>
      </c>
      <c r="B46" s="18">
        <v>4790</v>
      </c>
      <c r="C46" s="18">
        <v>17207</v>
      </c>
      <c r="D46" s="18">
        <v>30259</v>
      </c>
      <c r="E46" s="18">
        <v>1962</v>
      </c>
      <c r="F46" s="18">
        <v>16308</v>
      </c>
      <c r="G46" s="18">
        <v>0</v>
      </c>
      <c r="H46" s="18">
        <v>2876</v>
      </c>
      <c r="I46" s="18">
        <f t="shared" si="0"/>
        <v>73402</v>
      </c>
    </row>
    <row r="47" spans="1:9" ht="15.75" customHeight="1">
      <c r="A47" s="17" t="s">
        <v>16</v>
      </c>
      <c r="B47" s="18"/>
      <c r="C47" s="18"/>
      <c r="D47" s="18"/>
      <c r="E47" s="18"/>
      <c r="F47" s="18"/>
      <c r="G47" s="18"/>
      <c r="H47" s="18"/>
      <c r="I47" s="18"/>
    </row>
    <row r="48" spans="1:9">
      <c r="A48" s="23" t="s">
        <v>52</v>
      </c>
      <c r="B48" s="18">
        <v>4608</v>
      </c>
      <c r="C48" s="18">
        <v>16983</v>
      </c>
      <c r="D48" s="18">
        <v>40192</v>
      </c>
      <c r="E48" s="18">
        <v>1570</v>
      </c>
      <c r="F48" s="18">
        <v>11711</v>
      </c>
      <c r="G48" s="18">
        <v>0</v>
      </c>
      <c r="H48" s="18">
        <v>2807</v>
      </c>
      <c r="I48" s="18">
        <f t="shared" ref="I48:I59" si="1">SUM(B48:H48)</f>
        <v>77871</v>
      </c>
    </row>
    <row r="49" spans="1:9">
      <c r="A49" s="23" t="s">
        <v>53</v>
      </c>
      <c r="B49" s="18">
        <v>4698</v>
      </c>
      <c r="C49" s="18">
        <v>17451</v>
      </c>
      <c r="D49" s="18">
        <v>44846</v>
      </c>
      <c r="E49" s="18">
        <v>1492</v>
      </c>
      <c r="F49" s="18">
        <v>9287</v>
      </c>
      <c r="G49" s="18">
        <v>0</v>
      </c>
      <c r="H49" s="18">
        <v>2728</v>
      </c>
      <c r="I49" s="18">
        <f t="shared" si="1"/>
        <v>80502</v>
      </c>
    </row>
    <row r="50" spans="1:9">
      <c r="A50" s="23" t="s">
        <v>54</v>
      </c>
      <c r="B50" s="18">
        <v>4522</v>
      </c>
      <c r="C50" s="18">
        <v>18771</v>
      </c>
      <c r="D50" s="18">
        <v>45986</v>
      </c>
      <c r="E50" s="18">
        <v>1410</v>
      </c>
      <c r="F50" s="18">
        <v>8928</v>
      </c>
      <c r="G50" s="18">
        <v>0</v>
      </c>
      <c r="H50" s="18">
        <v>2668</v>
      </c>
      <c r="I50" s="18">
        <f t="shared" si="1"/>
        <v>82285</v>
      </c>
    </row>
    <row r="51" spans="1:9">
      <c r="A51" s="23" t="s">
        <v>55</v>
      </c>
      <c r="B51" s="18">
        <v>4422</v>
      </c>
      <c r="C51" s="18">
        <v>16966</v>
      </c>
      <c r="D51" s="18">
        <v>50274</v>
      </c>
      <c r="E51" s="18">
        <v>1361</v>
      </c>
      <c r="F51" s="18">
        <v>9017</v>
      </c>
      <c r="G51" s="18">
        <v>0</v>
      </c>
      <c r="H51" s="18">
        <v>2592</v>
      </c>
      <c r="I51" s="18">
        <f t="shared" si="1"/>
        <v>84632</v>
      </c>
    </row>
    <row r="52" spans="1:9">
      <c r="A52" s="23" t="s">
        <v>56</v>
      </c>
      <c r="B52" s="18">
        <v>4876</v>
      </c>
      <c r="C52" s="18">
        <v>20552</v>
      </c>
      <c r="D52" s="18">
        <v>50520</v>
      </c>
      <c r="E52" s="18">
        <v>1816</v>
      </c>
      <c r="F52" s="18">
        <v>8312</v>
      </c>
      <c r="G52" s="18">
        <v>0</v>
      </c>
      <c r="H52" s="18">
        <v>2543</v>
      </c>
      <c r="I52" s="18">
        <f t="shared" si="1"/>
        <v>88619</v>
      </c>
    </row>
    <row r="53" spans="1:9">
      <c r="A53" s="23" t="s">
        <v>57</v>
      </c>
      <c r="B53" s="18">
        <v>4873</v>
      </c>
      <c r="C53" s="18">
        <v>22480</v>
      </c>
      <c r="D53" s="18">
        <v>50541</v>
      </c>
      <c r="E53" s="18">
        <v>1699</v>
      </c>
      <c r="F53" s="18">
        <v>8834</v>
      </c>
      <c r="G53" s="18">
        <v>0</v>
      </c>
      <c r="H53" s="18">
        <v>2517</v>
      </c>
      <c r="I53" s="18">
        <f t="shared" si="1"/>
        <v>90944</v>
      </c>
    </row>
    <row r="54" spans="1:9">
      <c r="A54" s="23" t="s">
        <v>58</v>
      </c>
      <c r="B54" s="18">
        <v>5212</v>
      </c>
      <c r="C54" s="18">
        <v>22134</v>
      </c>
      <c r="D54" s="18">
        <v>49064</v>
      </c>
      <c r="E54" s="18">
        <v>2016</v>
      </c>
      <c r="F54" s="18">
        <v>11453</v>
      </c>
      <c r="G54" s="18">
        <v>0</v>
      </c>
      <c r="H54" s="18">
        <v>2435</v>
      </c>
      <c r="I54" s="18">
        <f t="shared" si="1"/>
        <v>92314</v>
      </c>
    </row>
    <row r="55" spans="1:9">
      <c r="A55" s="23" t="s">
        <v>59</v>
      </c>
      <c r="B55" s="18">
        <v>4685</v>
      </c>
      <c r="C55" s="18">
        <v>20138</v>
      </c>
      <c r="D55" s="18">
        <v>48809</v>
      </c>
      <c r="E55" s="18">
        <v>1344</v>
      </c>
      <c r="F55" s="18">
        <v>12677</v>
      </c>
      <c r="G55" s="18">
        <v>0</v>
      </c>
      <c r="H55" s="18">
        <v>2392</v>
      </c>
      <c r="I55" s="18">
        <f t="shared" si="1"/>
        <v>90045</v>
      </c>
    </row>
    <row r="56" spans="1:9">
      <c r="A56" s="23" t="s">
        <v>67</v>
      </c>
      <c r="B56" s="18">
        <v>4501</v>
      </c>
      <c r="C56" s="18">
        <v>21689</v>
      </c>
      <c r="D56" s="18">
        <v>44404</v>
      </c>
      <c r="E56" s="18">
        <v>1800</v>
      </c>
      <c r="F56" s="18">
        <v>14698</v>
      </c>
      <c r="G56" s="18">
        <v>0</v>
      </c>
      <c r="H56" s="18">
        <v>2375</v>
      </c>
      <c r="I56" s="18">
        <f t="shared" si="1"/>
        <v>89467</v>
      </c>
    </row>
    <row r="57" spans="1:9">
      <c r="A57" s="23" t="s">
        <v>60</v>
      </c>
      <c r="B57" s="18">
        <v>4540</v>
      </c>
      <c r="C57" s="18">
        <v>19786</v>
      </c>
      <c r="D57" s="18">
        <v>48017</v>
      </c>
      <c r="E57" s="18">
        <v>1550</v>
      </c>
      <c r="F57" s="18">
        <v>12544</v>
      </c>
      <c r="G57" s="18">
        <v>0</v>
      </c>
      <c r="H57" s="18">
        <v>2322</v>
      </c>
      <c r="I57" s="18">
        <f t="shared" si="1"/>
        <v>88759</v>
      </c>
    </row>
    <row r="58" spans="1:9">
      <c r="A58" s="23" t="s">
        <v>61</v>
      </c>
      <c r="B58" s="18">
        <v>4475</v>
      </c>
      <c r="C58" s="18">
        <v>19125</v>
      </c>
      <c r="D58" s="18">
        <v>43808</v>
      </c>
      <c r="E58" s="18">
        <v>2114</v>
      </c>
      <c r="F58" s="18">
        <v>13226</v>
      </c>
      <c r="G58" s="18">
        <v>0</v>
      </c>
      <c r="H58" s="18">
        <v>2298</v>
      </c>
      <c r="I58" s="18">
        <f t="shared" si="1"/>
        <v>85046</v>
      </c>
    </row>
    <row r="59" spans="1:9">
      <c r="A59" s="23" t="s">
        <v>51</v>
      </c>
      <c r="B59" s="18">
        <v>5423</v>
      </c>
      <c r="C59" s="18">
        <v>19442</v>
      </c>
      <c r="D59" s="18">
        <v>39298</v>
      </c>
      <c r="E59" s="18">
        <v>2206</v>
      </c>
      <c r="F59" s="18">
        <v>14008</v>
      </c>
      <c r="G59" s="18">
        <v>0</v>
      </c>
      <c r="H59" s="18">
        <v>2162</v>
      </c>
      <c r="I59" s="18">
        <f t="shared" si="1"/>
        <v>82539</v>
      </c>
    </row>
    <row r="60" spans="1:9" ht="13">
      <c r="A60" s="17" t="s">
        <v>17</v>
      </c>
      <c r="B60" s="18"/>
      <c r="C60" s="18"/>
      <c r="D60" s="18"/>
      <c r="E60" s="18"/>
      <c r="F60" s="18"/>
      <c r="G60" s="18"/>
      <c r="H60" s="18"/>
      <c r="I60" s="18"/>
    </row>
    <row r="61" spans="1:9">
      <c r="A61" s="23" t="s">
        <v>52</v>
      </c>
      <c r="B61" s="18">
        <v>5241</v>
      </c>
      <c r="C61" s="18">
        <v>21141</v>
      </c>
      <c r="D61" s="18">
        <v>41794</v>
      </c>
      <c r="E61" s="18">
        <v>1724</v>
      </c>
      <c r="F61" s="18">
        <v>13135</v>
      </c>
      <c r="G61" s="18">
        <v>0</v>
      </c>
      <c r="H61" s="18">
        <v>2088</v>
      </c>
      <c r="I61" s="18">
        <f t="shared" ref="I61:I72" si="2">SUM(B61:H61)</f>
        <v>85123</v>
      </c>
    </row>
    <row r="62" spans="1:9">
      <c r="A62" s="23" t="s">
        <v>53</v>
      </c>
      <c r="B62" s="18">
        <v>4948</v>
      </c>
      <c r="C62" s="18">
        <v>20275</v>
      </c>
      <c r="D62" s="18">
        <v>41544</v>
      </c>
      <c r="E62" s="18">
        <v>1823</v>
      </c>
      <c r="F62" s="18">
        <v>14312</v>
      </c>
      <c r="G62" s="18">
        <v>0</v>
      </c>
      <c r="H62" s="18">
        <v>2052</v>
      </c>
      <c r="I62" s="18">
        <f t="shared" si="2"/>
        <v>84954</v>
      </c>
    </row>
    <row r="63" spans="1:9">
      <c r="A63" s="23" t="s">
        <v>54</v>
      </c>
      <c r="B63" s="18">
        <v>5171</v>
      </c>
      <c r="C63" s="18">
        <v>22163</v>
      </c>
      <c r="D63" s="18">
        <v>44260</v>
      </c>
      <c r="E63" s="18">
        <v>2111</v>
      </c>
      <c r="F63" s="18">
        <v>15522</v>
      </c>
      <c r="G63" s="18">
        <v>0</v>
      </c>
      <c r="H63" s="18">
        <v>2014</v>
      </c>
      <c r="I63" s="18">
        <f t="shared" si="2"/>
        <v>91241</v>
      </c>
    </row>
    <row r="64" spans="1:9">
      <c r="A64" s="23" t="s">
        <v>55</v>
      </c>
      <c r="B64" s="18">
        <v>5748</v>
      </c>
      <c r="C64" s="18">
        <v>22506</v>
      </c>
      <c r="D64" s="18">
        <v>49754</v>
      </c>
      <c r="E64" s="18">
        <v>1777</v>
      </c>
      <c r="F64" s="18">
        <v>13057</v>
      </c>
      <c r="G64" s="18">
        <v>0</v>
      </c>
      <c r="H64" s="18">
        <v>1986</v>
      </c>
      <c r="I64" s="18">
        <f t="shared" si="2"/>
        <v>94828</v>
      </c>
    </row>
    <row r="65" spans="1:9">
      <c r="A65" s="23" t="s">
        <v>56</v>
      </c>
      <c r="B65" s="18">
        <v>5201</v>
      </c>
      <c r="C65" s="18">
        <v>18774</v>
      </c>
      <c r="D65" s="18">
        <v>48800</v>
      </c>
      <c r="E65" s="18">
        <v>2023</v>
      </c>
      <c r="F65" s="18">
        <v>10762</v>
      </c>
      <c r="G65" s="18">
        <v>0</v>
      </c>
      <c r="H65" s="18">
        <v>1960</v>
      </c>
      <c r="I65" s="18">
        <f t="shared" si="2"/>
        <v>87520</v>
      </c>
    </row>
    <row r="66" spans="1:9">
      <c r="A66" s="23" t="s">
        <v>57</v>
      </c>
      <c r="B66" s="18">
        <v>5561</v>
      </c>
      <c r="C66" s="18">
        <v>25095</v>
      </c>
      <c r="D66" s="18">
        <v>40121</v>
      </c>
      <c r="E66" s="18">
        <v>2186</v>
      </c>
      <c r="F66" s="18">
        <v>10480</v>
      </c>
      <c r="G66" s="18">
        <v>0</v>
      </c>
      <c r="H66" s="18">
        <v>1909</v>
      </c>
      <c r="I66" s="18">
        <f t="shared" si="2"/>
        <v>85352</v>
      </c>
    </row>
    <row r="67" spans="1:9">
      <c r="A67" s="23" t="s">
        <v>58</v>
      </c>
      <c r="B67" s="18">
        <v>5231</v>
      </c>
      <c r="C67" s="18">
        <v>22844</v>
      </c>
      <c r="D67" s="18">
        <v>46666</v>
      </c>
      <c r="E67" s="18">
        <v>2190</v>
      </c>
      <c r="F67" s="18">
        <v>9860</v>
      </c>
      <c r="G67" s="18">
        <v>0</v>
      </c>
      <c r="H67" s="18">
        <v>1885</v>
      </c>
      <c r="I67" s="18">
        <f t="shared" si="2"/>
        <v>88676</v>
      </c>
    </row>
    <row r="68" spans="1:9">
      <c r="A68" s="23" t="s">
        <v>59</v>
      </c>
      <c r="B68" s="18">
        <v>4872</v>
      </c>
      <c r="C68" s="18">
        <v>22367</v>
      </c>
      <c r="D68" s="18">
        <v>41266</v>
      </c>
      <c r="E68" s="18">
        <v>1968</v>
      </c>
      <c r="F68" s="18">
        <v>10318</v>
      </c>
      <c r="G68" s="18">
        <v>0</v>
      </c>
      <c r="H68" s="18">
        <v>1828</v>
      </c>
      <c r="I68" s="18">
        <f t="shared" si="2"/>
        <v>82619</v>
      </c>
    </row>
    <row r="69" spans="1:9">
      <c r="A69" s="23" t="s">
        <v>67</v>
      </c>
      <c r="B69" s="18">
        <v>4966</v>
      </c>
      <c r="C69" s="18">
        <v>24686</v>
      </c>
      <c r="D69" s="18">
        <v>37147</v>
      </c>
      <c r="E69" s="18">
        <v>1934</v>
      </c>
      <c r="F69" s="18">
        <v>9284</v>
      </c>
      <c r="G69" s="18">
        <v>0</v>
      </c>
      <c r="H69" s="18">
        <v>1771</v>
      </c>
      <c r="I69" s="18">
        <f t="shared" si="2"/>
        <v>79788</v>
      </c>
    </row>
    <row r="70" spans="1:9">
      <c r="A70" s="23" t="s">
        <v>60</v>
      </c>
      <c r="B70" s="18">
        <v>4696</v>
      </c>
      <c r="C70" s="18">
        <v>23105</v>
      </c>
      <c r="D70" s="18">
        <v>38894</v>
      </c>
      <c r="E70" s="18">
        <v>2264</v>
      </c>
      <c r="F70" s="18">
        <v>8110</v>
      </c>
      <c r="G70" s="18">
        <v>0</v>
      </c>
      <c r="H70" s="18">
        <v>1738</v>
      </c>
      <c r="I70" s="18">
        <f t="shared" si="2"/>
        <v>78807</v>
      </c>
    </row>
    <row r="71" spans="1:9">
      <c r="A71" s="23" t="s">
        <v>61</v>
      </c>
      <c r="B71" s="18">
        <v>4242</v>
      </c>
      <c r="C71" s="18">
        <v>24278</v>
      </c>
      <c r="D71" s="18">
        <v>40769</v>
      </c>
      <c r="E71" s="18">
        <v>2650</v>
      </c>
      <c r="F71" s="18">
        <v>9447</v>
      </c>
      <c r="G71" s="18">
        <v>0</v>
      </c>
      <c r="H71" s="18">
        <v>2022</v>
      </c>
      <c r="I71" s="18">
        <f t="shared" si="2"/>
        <v>83408</v>
      </c>
    </row>
    <row r="72" spans="1:9">
      <c r="A72" s="23" t="s">
        <v>51</v>
      </c>
      <c r="B72" s="18">
        <v>5893</v>
      </c>
      <c r="C72" s="18">
        <v>24157</v>
      </c>
      <c r="D72" s="18">
        <v>34179</v>
      </c>
      <c r="E72" s="18">
        <v>3066</v>
      </c>
      <c r="F72" s="18">
        <v>12066</v>
      </c>
      <c r="G72" s="18">
        <v>0</v>
      </c>
      <c r="H72" s="18">
        <v>2735</v>
      </c>
      <c r="I72" s="18">
        <f t="shared" si="2"/>
        <v>82096</v>
      </c>
    </row>
    <row r="73" spans="1:9" ht="13">
      <c r="A73" s="17" t="s">
        <v>18</v>
      </c>
      <c r="B73" s="18"/>
      <c r="C73" s="18"/>
      <c r="D73" s="18"/>
      <c r="E73" s="18"/>
      <c r="F73" s="18"/>
      <c r="G73" s="18"/>
      <c r="H73" s="18"/>
      <c r="I73" s="18"/>
    </row>
    <row r="74" spans="1:9">
      <c r="A74" s="23" t="s">
        <v>52</v>
      </c>
      <c r="B74" s="18">
        <v>5435</v>
      </c>
      <c r="C74" s="18">
        <v>24034</v>
      </c>
      <c r="D74" s="18">
        <v>34826</v>
      </c>
      <c r="E74" s="18">
        <v>2445</v>
      </c>
      <c r="F74" s="18">
        <v>11855</v>
      </c>
      <c r="G74" s="18">
        <v>0</v>
      </c>
      <c r="H74" s="18">
        <v>2660</v>
      </c>
      <c r="I74" s="18">
        <f t="shared" ref="I74:I85" si="3">SUM(B74:H74)</f>
        <v>81255</v>
      </c>
    </row>
    <row r="75" spans="1:9">
      <c r="A75" s="23" t="s">
        <v>53</v>
      </c>
      <c r="B75" s="18">
        <v>4594</v>
      </c>
      <c r="C75" s="18">
        <v>24109</v>
      </c>
      <c r="D75" s="18">
        <v>39211</v>
      </c>
      <c r="E75" s="18">
        <v>2197</v>
      </c>
      <c r="F75" s="18">
        <v>11667</v>
      </c>
      <c r="G75" s="18">
        <v>0</v>
      </c>
      <c r="H75" s="18">
        <v>2227</v>
      </c>
      <c r="I75" s="18">
        <f t="shared" si="3"/>
        <v>84005</v>
      </c>
    </row>
    <row r="76" spans="1:9">
      <c r="A76" s="23" t="s">
        <v>54</v>
      </c>
      <c r="B76" s="18">
        <v>4743</v>
      </c>
      <c r="C76" s="18">
        <v>22406</v>
      </c>
      <c r="D76" s="18">
        <v>47728</v>
      </c>
      <c r="E76" s="18">
        <v>2641</v>
      </c>
      <c r="F76" s="18">
        <v>16901</v>
      </c>
      <c r="G76" s="18">
        <v>0</v>
      </c>
      <c r="H76" s="18">
        <v>1362</v>
      </c>
      <c r="I76" s="18">
        <f t="shared" si="3"/>
        <v>95781</v>
      </c>
    </row>
    <row r="77" spans="1:9">
      <c r="A77" s="23" t="s">
        <v>55</v>
      </c>
      <c r="B77" s="18">
        <v>4997</v>
      </c>
      <c r="C77" s="18">
        <v>25630</v>
      </c>
      <c r="D77" s="18">
        <v>50980</v>
      </c>
      <c r="E77" s="18">
        <v>2466</v>
      </c>
      <c r="F77" s="18">
        <v>18749</v>
      </c>
      <c r="G77" s="18">
        <v>0</v>
      </c>
      <c r="H77" s="18">
        <v>1277</v>
      </c>
      <c r="I77" s="18">
        <f t="shared" si="3"/>
        <v>104099</v>
      </c>
    </row>
    <row r="78" spans="1:9">
      <c r="A78" s="23" t="s">
        <v>56</v>
      </c>
      <c r="B78" s="18">
        <v>4975</v>
      </c>
      <c r="C78" s="18">
        <v>22087</v>
      </c>
      <c r="D78" s="18">
        <v>53120</v>
      </c>
      <c r="E78" s="18">
        <v>2756</v>
      </c>
      <c r="F78" s="18">
        <v>20176</v>
      </c>
      <c r="G78" s="18">
        <v>0</v>
      </c>
      <c r="H78" s="18">
        <v>1245</v>
      </c>
      <c r="I78" s="18">
        <f t="shared" si="3"/>
        <v>104359</v>
      </c>
    </row>
    <row r="79" spans="1:9">
      <c r="A79" s="23" t="s">
        <v>57</v>
      </c>
      <c r="B79" s="18">
        <v>5024</v>
      </c>
      <c r="C79" s="18">
        <v>27083</v>
      </c>
      <c r="D79" s="18">
        <v>54648</v>
      </c>
      <c r="E79" s="18">
        <v>2300</v>
      </c>
      <c r="F79" s="18">
        <v>21039</v>
      </c>
      <c r="G79" s="18">
        <v>0</v>
      </c>
      <c r="H79" s="18">
        <v>1210</v>
      </c>
      <c r="I79" s="18">
        <f t="shared" si="3"/>
        <v>111304</v>
      </c>
    </row>
    <row r="80" spans="1:9">
      <c r="A80" s="23" t="s">
        <v>58</v>
      </c>
      <c r="B80" s="18">
        <v>5573</v>
      </c>
      <c r="C80" s="18">
        <v>23482</v>
      </c>
      <c r="D80" s="18">
        <v>53384</v>
      </c>
      <c r="E80" s="18">
        <v>2351</v>
      </c>
      <c r="F80" s="18">
        <v>26077</v>
      </c>
      <c r="G80" s="18">
        <v>0</v>
      </c>
      <c r="H80" s="18">
        <v>1190</v>
      </c>
      <c r="I80" s="18">
        <f t="shared" si="3"/>
        <v>112057</v>
      </c>
    </row>
    <row r="81" spans="1:9">
      <c r="A81" s="23" t="s">
        <v>59</v>
      </c>
      <c r="B81" s="18">
        <v>4665</v>
      </c>
      <c r="C81" s="18">
        <v>20882</v>
      </c>
      <c r="D81" s="18">
        <v>53847</v>
      </c>
      <c r="E81" s="18">
        <v>2356</v>
      </c>
      <c r="F81" s="18">
        <v>26327</v>
      </c>
      <c r="G81" s="18">
        <v>0</v>
      </c>
      <c r="H81" s="18">
        <v>1139</v>
      </c>
      <c r="I81" s="18">
        <f t="shared" si="3"/>
        <v>109216</v>
      </c>
    </row>
    <row r="82" spans="1:9">
      <c r="A82" s="23" t="s">
        <v>67</v>
      </c>
      <c r="B82" s="18">
        <v>5244</v>
      </c>
      <c r="C82" s="18">
        <v>22252</v>
      </c>
      <c r="D82" s="18">
        <v>52642</v>
      </c>
      <c r="E82" s="18">
        <v>2254</v>
      </c>
      <c r="F82" s="18">
        <v>24143</v>
      </c>
      <c r="G82" s="18">
        <v>0</v>
      </c>
      <c r="H82" s="18">
        <v>1079</v>
      </c>
      <c r="I82" s="18">
        <f t="shared" si="3"/>
        <v>107614</v>
      </c>
    </row>
    <row r="83" spans="1:9">
      <c r="A83" s="23" t="s">
        <v>60</v>
      </c>
      <c r="B83" s="18">
        <v>4720</v>
      </c>
      <c r="C83" s="18">
        <v>21792</v>
      </c>
      <c r="D83" s="18">
        <v>53917</v>
      </c>
      <c r="E83" s="18">
        <v>2112</v>
      </c>
      <c r="F83" s="18">
        <v>29801</v>
      </c>
      <c r="G83" s="18">
        <v>0</v>
      </c>
      <c r="H83" s="18">
        <v>1033</v>
      </c>
      <c r="I83" s="18">
        <f t="shared" si="3"/>
        <v>113375</v>
      </c>
    </row>
    <row r="84" spans="1:9">
      <c r="A84" s="23" t="s">
        <v>61</v>
      </c>
      <c r="B84" s="18">
        <v>5390</v>
      </c>
      <c r="C84" s="18">
        <v>21481</v>
      </c>
      <c r="D84" s="18">
        <v>46804</v>
      </c>
      <c r="E84" s="18">
        <v>2252</v>
      </c>
      <c r="F84" s="18">
        <v>30893</v>
      </c>
      <c r="G84" s="18">
        <v>0</v>
      </c>
      <c r="H84" s="18">
        <v>984</v>
      </c>
      <c r="I84" s="18">
        <f t="shared" si="3"/>
        <v>107804</v>
      </c>
    </row>
    <row r="85" spans="1:9">
      <c r="A85" s="23" t="s">
        <v>51</v>
      </c>
      <c r="B85" s="18">
        <v>6196</v>
      </c>
      <c r="C85" s="18">
        <v>22644</v>
      </c>
      <c r="D85" s="18">
        <v>39869</v>
      </c>
      <c r="E85" s="18">
        <v>2873</v>
      </c>
      <c r="F85" s="18">
        <v>30255</v>
      </c>
      <c r="G85" s="18">
        <v>0</v>
      </c>
      <c r="H85" s="18">
        <v>864</v>
      </c>
      <c r="I85" s="18">
        <f t="shared" si="3"/>
        <v>102701</v>
      </c>
    </row>
    <row r="86" spans="1:9" ht="14.25" customHeight="1">
      <c r="A86" s="17" t="s">
        <v>19</v>
      </c>
      <c r="B86" s="18"/>
      <c r="C86" s="18"/>
      <c r="D86" s="18"/>
      <c r="E86" s="18"/>
      <c r="F86" s="18"/>
      <c r="G86" s="18"/>
      <c r="H86" s="18"/>
      <c r="I86" s="18"/>
    </row>
    <row r="87" spans="1:9">
      <c r="A87" s="23" t="s">
        <v>52</v>
      </c>
      <c r="B87" s="18">
        <v>5752</v>
      </c>
      <c r="C87" s="18">
        <v>26376</v>
      </c>
      <c r="D87" s="18">
        <v>44165</v>
      </c>
      <c r="E87" s="18">
        <v>2362</v>
      </c>
      <c r="F87" s="18">
        <v>22667</v>
      </c>
      <c r="G87" s="18">
        <v>0</v>
      </c>
      <c r="H87" s="18">
        <v>839</v>
      </c>
      <c r="I87" s="18">
        <f t="shared" ref="I87:I98" si="4">SUM(B87:H87)</f>
        <v>102161</v>
      </c>
    </row>
    <row r="88" spans="1:9">
      <c r="A88" s="23" t="s">
        <v>53</v>
      </c>
      <c r="B88" s="18">
        <v>5370</v>
      </c>
      <c r="C88" s="18">
        <v>24731</v>
      </c>
      <c r="D88" s="18">
        <v>46252</v>
      </c>
      <c r="E88" s="18">
        <v>2946</v>
      </c>
      <c r="F88" s="18">
        <v>23544</v>
      </c>
      <c r="G88" s="18">
        <v>0</v>
      </c>
      <c r="H88" s="18">
        <v>793</v>
      </c>
      <c r="I88" s="18">
        <f t="shared" si="4"/>
        <v>103636</v>
      </c>
    </row>
    <row r="89" spans="1:9">
      <c r="A89" s="23" t="s">
        <v>54</v>
      </c>
      <c r="B89" s="18">
        <v>5555</v>
      </c>
      <c r="C89" s="18">
        <v>23529</v>
      </c>
      <c r="D89" s="18">
        <v>48065</v>
      </c>
      <c r="E89" s="18">
        <v>4295</v>
      </c>
      <c r="F89" s="18">
        <v>26002</v>
      </c>
      <c r="G89" s="18">
        <v>0</v>
      </c>
      <c r="H89" s="18">
        <v>765</v>
      </c>
      <c r="I89" s="18">
        <f t="shared" si="4"/>
        <v>108211</v>
      </c>
    </row>
    <row r="90" spans="1:9">
      <c r="A90" s="23" t="s">
        <v>55</v>
      </c>
      <c r="B90" s="18">
        <v>5939</v>
      </c>
      <c r="C90" s="18">
        <v>24631</v>
      </c>
      <c r="D90" s="18">
        <v>48009</v>
      </c>
      <c r="E90" s="18">
        <v>3471</v>
      </c>
      <c r="F90" s="18">
        <v>31096</v>
      </c>
      <c r="G90" s="18">
        <v>0</v>
      </c>
      <c r="H90" s="18">
        <v>737</v>
      </c>
      <c r="I90" s="18">
        <f t="shared" si="4"/>
        <v>113883</v>
      </c>
    </row>
    <row r="91" spans="1:9">
      <c r="A91" s="23" t="s">
        <v>56</v>
      </c>
      <c r="B91" s="18">
        <v>6006</v>
      </c>
      <c r="C91" s="18">
        <v>25200</v>
      </c>
      <c r="D91" s="18">
        <v>49083</v>
      </c>
      <c r="E91" s="18">
        <v>2573</v>
      </c>
      <c r="F91" s="18">
        <v>33555</v>
      </c>
      <c r="G91" s="18">
        <v>0</v>
      </c>
      <c r="H91" s="18">
        <v>721</v>
      </c>
      <c r="I91" s="18">
        <f t="shared" si="4"/>
        <v>117138</v>
      </c>
    </row>
    <row r="92" spans="1:9">
      <c r="A92" s="23" t="s">
        <v>57</v>
      </c>
      <c r="B92" s="18">
        <v>5639</v>
      </c>
      <c r="C92" s="18">
        <v>25885</v>
      </c>
      <c r="D92" s="18">
        <v>52962</v>
      </c>
      <c r="E92" s="18">
        <v>3112</v>
      </c>
      <c r="F92" s="18">
        <v>33148</v>
      </c>
      <c r="G92" s="18">
        <v>0</v>
      </c>
      <c r="H92" s="18">
        <v>708</v>
      </c>
      <c r="I92" s="18">
        <f t="shared" si="4"/>
        <v>121454</v>
      </c>
    </row>
    <row r="93" spans="1:9">
      <c r="A93" s="23" t="s">
        <v>58</v>
      </c>
      <c r="B93" s="18">
        <v>5926</v>
      </c>
      <c r="C93" s="18">
        <v>27900</v>
      </c>
      <c r="D93" s="18">
        <v>54253</v>
      </c>
      <c r="E93" s="18">
        <v>2192</v>
      </c>
      <c r="F93" s="18">
        <v>29026</v>
      </c>
      <c r="G93" s="18">
        <v>0</v>
      </c>
      <c r="H93" s="18">
        <v>697</v>
      </c>
      <c r="I93" s="18">
        <f t="shared" si="4"/>
        <v>119994</v>
      </c>
    </row>
    <row r="94" spans="1:9">
      <c r="A94" s="23" t="s">
        <v>59</v>
      </c>
      <c r="B94" s="18">
        <v>5096</v>
      </c>
      <c r="C94" s="18">
        <v>31408</v>
      </c>
      <c r="D94" s="18">
        <v>54432</v>
      </c>
      <c r="E94" s="18">
        <v>2623</v>
      </c>
      <c r="F94" s="18">
        <v>24645</v>
      </c>
      <c r="G94" s="18">
        <v>0</v>
      </c>
      <c r="H94" s="18">
        <v>634</v>
      </c>
      <c r="I94" s="18">
        <f t="shared" si="4"/>
        <v>118838</v>
      </c>
    </row>
    <row r="95" spans="1:9">
      <c r="A95" s="23" t="s">
        <v>67</v>
      </c>
      <c r="B95" s="18">
        <v>5803</v>
      </c>
      <c r="C95" s="18">
        <v>30068</v>
      </c>
      <c r="D95" s="18">
        <v>53678</v>
      </c>
      <c r="E95" s="18">
        <v>2659</v>
      </c>
      <c r="F95" s="18">
        <v>25284</v>
      </c>
      <c r="G95" s="18">
        <v>0</v>
      </c>
      <c r="H95" s="18">
        <v>624</v>
      </c>
      <c r="I95" s="18">
        <f t="shared" si="4"/>
        <v>118116</v>
      </c>
    </row>
    <row r="96" spans="1:9">
      <c r="A96" s="23" t="s">
        <v>60</v>
      </c>
      <c r="B96" s="18">
        <v>5918</v>
      </c>
      <c r="C96" s="18">
        <v>28468</v>
      </c>
      <c r="D96" s="18">
        <v>51733</v>
      </c>
      <c r="E96" s="18">
        <v>3096</v>
      </c>
      <c r="F96" s="18">
        <v>26431</v>
      </c>
      <c r="G96" s="18">
        <v>0</v>
      </c>
      <c r="H96" s="18">
        <v>616</v>
      </c>
      <c r="I96" s="18">
        <f t="shared" si="4"/>
        <v>116262</v>
      </c>
    </row>
    <row r="97" spans="1:9">
      <c r="A97" s="23" t="s">
        <v>61</v>
      </c>
      <c r="B97" s="18">
        <v>6205</v>
      </c>
      <c r="C97" s="18">
        <v>27384</v>
      </c>
      <c r="D97" s="18">
        <v>55157</v>
      </c>
      <c r="E97" s="18">
        <v>2470</v>
      </c>
      <c r="F97" s="18">
        <v>30463</v>
      </c>
      <c r="G97" s="18">
        <v>0</v>
      </c>
      <c r="H97" s="18">
        <v>597</v>
      </c>
      <c r="I97" s="18">
        <f t="shared" si="4"/>
        <v>122276</v>
      </c>
    </row>
    <row r="98" spans="1:9">
      <c r="A98" s="23" t="s">
        <v>51</v>
      </c>
      <c r="B98" s="18">
        <v>6309</v>
      </c>
      <c r="C98" s="18">
        <v>28508</v>
      </c>
      <c r="D98" s="18">
        <v>52902</v>
      </c>
      <c r="E98" s="18">
        <v>3066</v>
      </c>
      <c r="F98" s="18">
        <v>37231</v>
      </c>
      <c r="G98" s="18">
        <v>0</v>
      </c>
      <c r="H98" s="18">
        <v>577</v>
      </c>
      <c r="I98" s="18">
        <f t="shared" si="4"/>
        <v>128593</v>
      </c>
    </row>
    <row r="99" spans="1:9" ht="13">
      <c r="A99" s="17" t="s">
        <v>20</v>
      </c>
      <c r="B99" s="18"/>
      <c r="C99" s="18"/>
      <c r="D99" s="18"/>
      <c r="E99" s="18"/>
      <c r="F99" s="18"/>
      <c r="G99" s="18"/>
      <c r="H99" s="18"/>
      <c r="I99" s="18"/>
    </row>
    <row r="100" spans="1:9">
      <c r="A100" s="23" t="s">
        <v>52</v>
      </c>
      <c r="B100" s="18">
        <v>6344</v>
      </c>
      <c r="C100" s="18">
        <v>27768</v>
      </c>
      <c r="D100" s="18">
        <v>50234</v>
      </c>
      <c r="E100" s="18">
        <v>3971</v>
      </c>
      <c r="F100" s="18">
        <v>39250</v>
      </c>
      <c r="G100" s="18">
        <v>0</v>
      </c>
      <c r="H100" s="18">
        <v>553</v>
      </c>
      <c r="I100" s="18">
        <f t="shared" ref="I100:I111" si="5">SUM(B100:H100)</f>
        <v>128120</v>
      </c>
    </row>
    <row r="101" spans="1:9">
      <c r="A101" s="23" t="s">
        <v>53</v>
      </c>
      <c r="B101" s="18">
        <v>6179</v>
      </c>
      <c r="C101" s="18">
        <v>33258</v>
      </c>
      <c r="D101" s="18">
        <v>46931</v>
      </c>
      <c r="E101" s="18">
        <v>3830</v>
      </c>
      <c r="F101" s="18">
        <v>43869</v>
      </c>
      <c r="G101" s="18">
        <v>0</v>
      </c>
      <c r="H101" s="18">
        <v>546</v>
      </c>
      <c r="I101" s="18">
        <f t="shared" si="5"/>
        <v>134613</v>
      </c>
    </row>
    <row r="102" spans="1:9">
      <c r="A102" s="23" t="s">
        <v>54</v>
      </c>
      <c r="B102" s="18">
        <v>6423</v>
      </c>
      <c r="C102" s="18">
        <v>36564</v>
      </c>
      <c r="D102" s="18">
        <v>53349</v>
      </c>
      <c r="E102" s="18">
        <v>4347</v>
      </c>
      <c r="F102" s="18">
        <v>32542</v>
      </c>
      <c r="G102" s="18">
        <v>0</v>
      </c>
      <c r="H102" s="18">
        <v>577</v>
      </c>
      <c r="I102" s="18">
        <f t="shared" si="5"/>
        <v>133802</v>
      </c>
    </row>
    <row r="103" spans="1:9">
      <c r="A103" s="23" t="s">
        <v>55</v>
      </c>
      <c r="B103" s="18">
        <v>6764</v>
      </c>
      <c r="C103" s="18">
        <v>36835</v>
      </c>
      <c r="D103" s="18">
        <v>53744</v>
      </c>
      <c r="E103" s="18">
        <v>3491</v>
      </c>
      <c r="F103" s="18">
        <v>40841</v>
      </c>
      <c r="G103" s="18">
        <v>0</v>
      </c>
      <c r="H103" s="18">
        <v>558</v>
      </c>
      <c r="I103" s="18">
        <f t="shared" si="5"/>
        <v>142233</v>
      </c>
    </row>
    <row r="104" spans="1:9">
      <c r="A104" s="23" t="s">
        <v>56</v>
      </c>
      <c r="B104" s="18">
        <v>7053</v>
      </c>
      <c r="C104" s="18">
        <v>31947</v>
      </c>
      <c r="D104" s="18">
        <v>54332</v>
      </c>
      <c r="E104" s="18">
        <f>1128+2396</f>
        <v>3524</v>
      </c>
      <c r="F104" s="18">
        <v>38550</v>
      </c>
      <c r="G104" s="18">
        <v>0</v>
      </c>
      <c r="H104" s="18">
        <v>496</v>
      </c>
      <c r="I104" s="18">
        <f t="shared" si="5"/>
        <v>135902</v>
      </c>
    </row>
    <row r="105" spans="1:9">
      <c r="A105" s="23" t="s">
        <v>57</v>
      </c>
      <c r="B105" s="18">
        <v>6682</v>
      </c>
      <c r="C105" s="18">
        <v>42848</v>
      </c>
      <c r="D105" s="18">
        <v>47441</v>
      </c>
      <c r="E105" s="18">
        <v>2944</v>
      </c>
      <c r="F105" s="18">
        <v>37217</v>
      </c>
      <c r="G105" s="18">
        <v>0</v>
      </c>
      <c r="H105" s="18">
        <v>501</v>
      </c>
      <c r="I105" s="18">
        <f t="shared" si="5"/>
        <v>137633</v>
      </c>
    </row>
    <row r="106" spans="1:9">
      <c r="A106" s="23" t="s">
        <v>58</v>
      </c>
      <c r="B106" s="18">
        <v>6531</v>
      </c>
      <c r="C106" s="18">
        <v>38452</v>
      </c>
      <c r="D106" s="18">
        <v>51870</v>
      </c>
      <c r="E106" s="18">
        <v>3318</v>
      </c>
      <c r="F106" s="18">
        <v>34114</v>
      </c>
      <c r="G106" s="18">
        <v>0</v>
      </c>
      <c r="H106" s="18">
        <v>488</v>
      </c>
      <c r="I106" s="18">
        <f t="shared" si="5"/>
        <v>134773</v>
      </c>
    </row>
    <row r="107" spans="1:9">
      <c r="A107" s="23" t="s">
        <v>59</v>
      </c>
      <c r="B107" s="18">
        <v>6271</v>
      </c>
      <c r="C107" s="18">
        <v>34708</v>
      </c>
      <c r="D107" s="18">
        <v>60742</v>
      </c>
      <c r="E107" s="18">
        <v>2400</v>
      </c>
      <c r="F107" s="18">
        <v>28652</v>
      </c>
      <c r="G107" s="18">
        <v>0</v>
      </c>
      <c r="H107" s="18">
        <v>467</v>
      </c>
      <c r="I107" s="18">
        <f t="shared" si="5"/>
        <v>133240</v>
      </c>
    </row>
    <row r="108" spans="1:9">
      <c r="A108" s="23" t="s">
        <v>67</v>
      </c>
      <c r="B108" s="18">
        <v>6542</v>
      </c>
      <c r="C108" s="18">
        <v>32249</v>
      </c>
      <c r="D108" s="18">
        <v>61083</v>
      </c>
      <c r="E108" s="18">
        <v>2843</v>
      </c>
      <c r="F108" s="18">
        <v>22970</v>
      </c>
      <c r="G108" s="18">
        <v>0</v>
      </c>
      <c r="H108" s="18">
        <v>464</v>
      </c>
      <c r="I108" s="18">
        <f t="shared" si="5"/>
        <v>126151</v>
      </c>
    </row>
    <row r="109" spans="1:9">
      <c r="A109" s="23" t="s">
        <v>60</v>
      </c>
      <c r="B109" s="18">
        <v>5972</v>
      </c>
      <c r="C109" s="18">
        <v>25339</v>
      </c>
      <c r="D109" s="18">
        <v>54050</v>
      </c>
      <c r="E109" s="18">
        <v>2698</v>
      </c>
      <c r="F109" s="18">
        <v>28484</v>
      </c>
      <c r="G109" s="18">
        <v>0</v>
      </c>
      <c r="H109" s="18">
        <v>450</v>
      </c>
      <c r="I109" s="18">
        <f t="shared" si="5"/>
        <v>116993</v>
      </c>
    </row>
    <row r="110" spans="1:9">
      <c r="A110" s="23" t="s">
        <v>61</v>
      </c>
      <c r="B110" s="18">
        <v>6517</v>
      </c>
      <c r="C110" s="18">
        <v>29626</v>
      </c>
      <c r="D110" s="18">
        <v>51355</v>
      </c>
      <c r="E110" s="18">
        <v>2234</v>
      </c>
      <c r="F110" s="18">
        <v>25083</v>
      </c>
      <c r="G110" s="18">
        <v>0</v>
      </c>
      <c r="H110" s="18">
        <v>443</v>
      </c>
      <c r="I110" s="18">
        <f t="shared" si="5"/>
        <v>115258</v>
      </c>
    </row>
    <row r="111" spans="1:9">
      <c r="A111" s="23" t="s">
        <v>51</v>
      </c>
      <c r="B111" s="18">
        <v>7020</v>
      </c>
      <c r="C111" s="18">
        <v>26029</v>
      </c>
      <c r="D111" s="18">
        <v>50339</v>
      </c>
      <c r="E111" s="18">
        <v>2979</v>
      </c>
      <c r="F111" s="18">
        <v>27701</v>
      </c>
      <c r="G111" s="18">
        <v>0</v>
      </c>
      <c r="H111" s="18">
        <v>447</v>
      </c>
      <c r="I111" s="18">
        <f t="shared" si="5"/>
        <v>114515</v>
      </c>
    </row>
    <row r="112" spans="1:9" ht="13">
      <c r="A112" s="17" t="s">
        <v>21</v>
      </c>
      <c r="B112" s="18"/>
      <c r="C112" s="18"/>
      <c r="D112" s="18"/>
      <c r="E112" s="18"/>
      <c r="F112" s="18"/>
      <c r="G112" s="18"/>
      <c r="H112" s="18"/>
      <c r="I112" s="18"/>
    </row>
    <row r="113" spans="1:9">
      <c r="A113" s="23" t="s">
        <v>52</v>
      </c>
      <c r="B113" s="18">
        <v>6485</v>
      </c>
      <c r="C113" s="18">
        <v>26911</v>
      </c>
      <c r="D113" s="18">
        <v>47803</v>
      </c>
      <c r="E113" s="18">
        <v>2730</v>
      </c>
      <c r="F113" s="18">
        <v>31054</v>
      </c>
      <c r="G113" s="18">
        <v>0</v>
      </c>
      <c r="H113" s="18">
        <v>452</v>
      </c>
      <c r="I113" s="18">
        <f t="shared" ref="I113:I124" si="6">SUM(B113:H113)</f>
        <v>115435</v>
      </c>
    </row>
    <row r="114" spans="1:9">
      <c r="A114" s="23" t="s">
        <v>53</v>
      </c>
      <c r="B114" s="18">
        <v>6522</v>
      </c>
      <c r="C114" s="18">
        <v>29298</v>
      </c>
      <c r="D114" s="18">
        <v>49740</v>
      </c>
      <c r="E114" s="18">
        <v>2533</v>
      </c>
      <c r="F114" s="18">
        <v>29133</v>
      </c>
      <c r="G114" s="18">
        <v>0</v>
      </c>
      <c r="H114" s="18">
        <v>455</v>
      </c>
      <c r="I114" s="18">
        <f t="shared" si="6"/>
        <v>117681</v>
      </c>
    </row>
    <row r="115" spans="1:9">
      <c r="A115" s="23" t="s">
        <v>54</v>
      </c>
      <c r="B115" s="18">
        <v>6507</v>
      </c>
      <c r="C115" s="18">
        <v>31332</v>
      </c>
      <c r="D115" s="18">
        <v>50462</v>
      </c>
      <c r="E115" s="18">
        <v>3091</v>
      </c>
      <c r="F115" s="18">
        <v>29035</v>
      </c>
      <c r="G115" s="18">
        <v>0</v>
      </c>
      <c r="H115" s="18">
        <v>458</v>
      </c>
      <c r="I115" s="18">
        <f t="shared" si="6"/>
        <v>120885</v>
      </c>
    </row>
    <row r="116" spans="1:9">
      <c r="A116" s="23" t="s">
        <v>55</v>
      </c>
      <c r="B116" s="18">
        <v>6660</v>
      </c>
      <c r="C116" s="18">
        <v>31342</v>
      </c>
      <c r="D116" s="18">
        <v>61904</v>
      </c>
      <c r="E116" s="18">
        <v>2639</v>
      </c>
      <c r="F116" s="18">
        <v>33803</v>
      </c>
      <c r="G116" s="18">
        <v>0</v>
      </c>
      <c r="H116" s="18">
        <v>462</v>
      </c>
      <c r="I116" s="18">
        <f t="shared" si="6"/>
        <v>136810</v>
      </c>
    </row>
    <row r="117" spans="1:9">
      <c r="A117" s="23" t="s">
        <v>56</v>
      </c>
      <c r="B117" s="18">
        <v>6961</v>
      </c>
      <c r="C117" s="18">
        <v>32318</v>
      </c>
      <c r="D117" s="18">
        <v>64983</v>
      </c>
      <c r="E117" s="18">
        <v>3131</v>
      </c>
      <c r="F117" s="18">
        <v>26856</v>
      </c>
      <c r="G117" s="18">
        <v>0</v>
      </c>
      <c r="H117" s="18">
        <v>416</v>
      </c>
      <c r="I117" s="18">
        <f t="shared" si="6"/>
        <v>134665</v>
      </c>
    </row>
    <row r="118" spans="1:9">
      <c r="A118" s="23" t="s">
        <v>57</v>
      </c>
      <c r="B118" s="18">
        <v>7507</v>
      </c>
      <c r="C118" s="18">
        <v>33652</v>
      </c>
      <c r="D118" s="18">
        <v>66858</v>
      </c>
      <c r="E118" s="18">
        <v>2981</v>
      </c>
      <c r="F118" s="18">
        <v>25493</v>
      </c>
      <c r="G118" s="18">
        <v>0</v>
      </c>
      <c r="H118" s="18">
        <v>403</v>
      </c>
      <c r="I118" s="18">
        <f t="shared" si="6"/>
        <v>136894</v>
      </c>
    </row>
    <row r="119" spans="1:9">
      <c r="A119" s="23" t="s">
        <v>58</v>
      </c>
      <c r="B119" s="18">
        <v>6808</v>
      </c>
      <c r="C119" s="18">
        <v>35434</v>
      </c>
      <c r="D119" s="18">
        <v>69248</v>
      </c>
      <c r="E119" s="18">
        <v>2801</v>
      </c>
      <c r="F119" s="18">
        <v>24829</v>
      </c>
      <c r="G119" s="18">
        <v>0</v>
      </c>
      <c r="H119" s="18">
        <v>408</v>
      </c>
      <c r="I119" s="18">
        <f t="shared" si="6"/>
        <v>139528</v>
      </c>
    </row>
    <row r="120" spans="1:9">
      <c r="A120" s="23" t="s">
        <v>59</v>
      </c>
      <c r="B120" s="18">
        <v>6922</v>
      </c>
      <c r="C120" s="18">
        <v>31008</v>
      </c>
      <c r="D120" s="18">
        <v>67443</v>
      </c>
      <c r="E120" s="18">
        <v>2519</v>
      </c>
      <c r="F120" s="18">
        <v>32667</v>
      </c>
      <c r="G120" s="18">
        <v>0</v>
      </c>
      <c r="H120" s="18">
        <v>412</v>
      </c>
      <c r="I120" s="18">
        <f t="shared" si="6"/>
        <v>140971</v>
      </c>
    </row>
    <row r="121" spans="1:9">
      <c r="A121" s="23" t="s">
        <v>67</v>
      </c>
      <c r="B121" s="18">
        <v>6696</v>
      </c>
      <c r="C121" s="18">
        <v>32843</v>
      </c>
      <c r="D121" s="18">
        <v>64317</v>
      </c>
      <c r="E121" s="18">
        <v>3347</v>
      </c>
      <c r="F121" s="18">
        <v>26957</v>
      </c>
      <c r="G121" s="18">
        <v>0</v>
      </c>
      <c r="H121" s="18">
        <v>387</v>
      </c>
      <c r="I121" s="18">
        <f t="shared" si="6"/>
        <v>134547</v>
      </c>
    </row>
    <row r="122" spans="1:9">
      <c r="A122" s="23" t="s">
        <v>60</v>
      </c>
      <c r="B122" s="18">
        <v>6843</v>
      </c>
      <c r="C122" s="18">
        <v>33163</v>
      </c>
      <c r="D122" s="18">
        <v>58161</v>
      </c>
      <c r="E122" s="18">
        <v>5827</v>
      </c>
      <c r="F122" s="18">
        <v>22343</v>
      </c>
      <c r="G122" s="18">
        <v>0</v>
      </c>
      <c r="H122" s="18">
        <v>370</v>
      </c>
      <c r="I122" s="18">
        <f t="shared" si="6"/>
        <v>126707</v>
      </c>
    </row>
    <row r="123" spans="1:9">
      <c r="A123" s="23" t="s">
        <v>61</v>
      </c>
      <c r="B123" s="18">
        <v>6773</v>
      </c>
      <c r="C123" s="18">
        <v>33438</v>
      </c>
      <c r="D123" s="18">
        <v>52084</v>
      </c>
      <c r="E123" s="18">
        <v>5961</v>
      </c>
      <c r="F123" s="18">
        <v>28093</v>
      </c>
      <c r="G123" s="18">
        <v>0</v>
      </c>
      <c r="H123" s="18">
        <v>372</v>
      </c>
      <c r="I123" s="18">
        <f t="shared" si="6"/>
        <v>126721</v>
      </c>
    </row>
    <row r="124" spans="1:9">
      <c r="A124" s="23" t="s">
        <v>51</v>
      </c>
      <c r="B124" s="18">
        <v>7405</v>
      </c>
      <c r="C124" s="18">
        <v>34574</v>
      </c>
      <c r="D124" s="18">
        <v>50643</v>
      </c>
      <c r="E124" s="18">
        <v>4475</v>
      </c>
      <c r="F124" s="18">
        <v>29424</v>
      </c>
      <c r="G124" s="18">
        <v>0</v>
      </c>
      <c r="H124" s="18">
        <v>374</v>
      </c>
      <c r="I124" s="18">
        <f t="shared" si="6"/>
        <v>126895</v>
      </c>
    </row>
    <row r="125" spans="1:9" ht="15.75" customHeight="1">
      <c r="A125" s="17" t="s">
        <v>22</v>
      </c>
      <c r="B125" s="18"/>
      <c r="C125" s="18"/>
      <c r="D125" s="18"/>
      <c r="E125" s="18"/>
      <c r="F125" s="18"/>
      <c r="G125" s="18"/>
      <c r="H125" s="18"/>
      <c r="I125" s="18"/>
    </row>
    <row r="126" spans="1:9">
      <c r="A126" s="23" t="s">
        <v>52</v>
      </c>
      <c r="B126" s="18">
        <v>7243</v>
      </c>
      <c r="C126" s="18">
        <v>46195</v>
      </c>
      <c r="D126" s="18">
        <v>63288</v>
      </c>
      <c r="E126" s="18">
        <v>2216</v>
      </c>
      <c r="F126" s="18">
        <v>19553</v>
      </c>
      <c r="G126" s="18">
        <v>0</v>
      </c>
      <c r="H126" s="18">
        <v>373</v>
      </c>
      <c r="I126" s="18">
        <f t="shared" ref="I126:I137" si="7">SUM(B126:H126)</f>
        <v>138868</v>
      </c>
    </row>
    <row r="127" spans="1:9">
      <c r="A127" s="23" t="s">
        <v>53</v>
      </c>
      <c r="B127" s="18">
        <v>6753</v>
      </c>
      <c r="C127" s="18">
        <v>40362</v>
      </c>
      <c r="D127" s="18">
        <v>70999</v>
      </c>
      <c r="E127" s="18">
        <v>3143</v>
      </c>
      <c r="F127" s="18">
        <v>23574</v>
      </c>
      <c r="G127" s="18">
        <v>0</v>
      </c>
      <c r="H127" s="18">
        <v>349</v>
      </c>
      <c r="I127" s="18">
        <f t="shared" si="7"/>
        <v>145180</v>
      </c>
    </row>
    <row r="128" spans="1:9">
      <c r="A128" s="23" t="s">
        <v>54</v>
      </c>
      <c r="B128" s="18">
        <v>6706</v>
      </c>
      <c r="C128" s="18">
        <v>37276</v>
      </c>
      <c r="D128" s="18">
        <v>64874</v>
      </c>
      <c r="E128" s="18">
        <v>4685</v>
      </c>
      <c r="F128" s="18">
        <v>32606</v>
      </c>
      <c r="G128" s="18">
        <v>0</v>
      </c>
      <c r="H128" s="18">
        <v>328</v>
      </c>
      <c r="I128" s="18">
        <f t="shared" si="7"/>
        <v>146475</v>
      </c>
    </row>
    <row r="129" spans="1:9">
      <c r="A129" s="23" t="s">
        <v>55</v>
      </c>
      <c r="B129" s="18">
        <v>7456</v>
      </c>
      <c r="C129" s="18">
        <v>37499</v>
      </c>
      <c r="D129" s="18">
        <v>61548</v>
      </c>
      <c r="E129" s="18">
        <v>3616</v>
      </c>
      <c r="F129" s="18">
        <v>40842</v>
      </c>
      <c r="G129" s="18">
        <v>0</v>
      </c>
      <c r="H129" s="18">
        <v>331</v>
      </c>
      <c r="I129" s="18">
        <f t="shared" si="7"/>
        <v>151292</v>
      </c>
    </row>
    <row r="130" spans="1:9">
      <c r="A130" s="23" t="s">
        <v>56</v>
      </c>
      <c r="B130" s="18">
        <v>7545</v>
      </c>
      <c r="C130" s="18">
        <v>34193</v>
      </c>
      <c r="D130" s="18">
        <v>59532</v>
      </c>
      <c r="E130" s="18">
        <v>4021</v>
      </c>
      <c r="F130" s="18">
        <v>48519</v>
      </c>
      <c r="G130" s="18">
        <v>0</v>
      </c>
      <c r="H130" s="18">
        <v>335</v>
      </c>
      <c r="I130" s="18">
        <f t="shared" si="7"/>
        <v>154145</v>
      </c>
    </row>
    <row r="131" spans="1:9">
      <c r="A131" s="23" t="s">
        <v>57</v>
      </c>
      <c r="B131" s="18">
        <v>7508</v>
      </c>
      <c r="C131" s="18">
        <v>35882</v>
      </c>
      <c r="D131" s="18">
        <v>62415</v>
      </c>
      <c r="E131" s="18">
        <v>3367</v>
      </c>
      <c r="F131" s="18">
        <v>46845</v>
      </c>
      <c r="G131" s="18">
        <v>0</v>
      </c>
      <c r="H131" s="18">
        <v>336</v>
      </c>
      <c r="I131" s="18">
        <f t="shared" si="7"/>
        <v>156353</v>
      </c>
    </row>
    <row r="132" spans="1:9">
      <c r="A132" s="23" t="s">
        <v>58</v>
      </c>
      <c r="B132" s="18">
        <v>7622</v>
      </c>
      <c r="C132" s="18">
        <v>37799</v>
      </c>
      <c r="D132" s="18">
        <v>53545</v>
      </c>
      <c r="E132" s="18">
        <f>24+2744</f>
        <v>2768</v>
      </c>
      <c r="F132" s="18">
        <f>36682+1053</f>
        <v>37735</v>
      </c>
      <c r="G132" s="18">
        <v>0</v>
      </c>
      <c r="H132" s="18">
        <v>340</v>
      </c>
      <c r="I132" s="18">
        <f t="shared" si="7"/>
        <v>139809</v>
      </c>
    </row>
    <row r="133" spans="1:9">
      <c r="A133" s="23" t="s">
        <v>59</v>
      </c>
      <c r="B133" s="18">
        <v>7320</v>
      </c>
      <c r="C133" s="18">
        <v>40747</v>
      </c>
      <c r="D133" s="18">
        <v>50477</v>
      </c>
      <c r="E133" s="18">
        <f>115+3572</f>
        <v>3687</v>
      </c>
      <c r="F133" s="18">
        <f>48095+1077</f>
        <v>49172</v>
      </c>
      <c r="G133" s="18">
        <v>0</v>
      </c>
      <c r="H133" s="18">
        <v>346</v>
      </c>
      <c r="I133" s="18">
        <f t="shared" si="7"/>
        <v>151749</v>
      </c>
    </row>
    <row r="134" spans="1:9">
      <c r="A134" s="23" t="s">
        <v>67</v>
      </c>
      <c r="B134" s="18">
        <v>6816</v>
      </c>
      <c r="C134" s="18">
        <v>34559</v>
      </c>
      <c r="D134" s="18">
        <v>51782</v>
      </c>
      <c r="E134" s="18">
        <f>-40+3123</f>
        <v>3083</v>
      </c>
      <c r="F134" s="18">
        <f>1137+37404</f>
        <v>38541</v>
      </c>
      <c r="G134" s="18">
        <v>0</v>
      </c>
      <c r="H134" s="18">
        <v>350</v>
      </c>
      <c r="I134" s="18">
        <f t="shared" si="7"/>
        <v>135131</v>
      </c>
    </row>
    <row r="135" spans="1:9">
      <c r="A135" s="23" t="s">
        <v>60</v>
      </c>
      <c r="B135" s="18">
        <v>6991</v>
      </c>
      <c r="C135" s="18">
        <v>34879</v>
      </c>
      <c r="D135" s="18">
        <v>49489</v>
      </c>
      <c r="E135" s="18">
        <f>66+2588</f>
        <v>2654</v>
      </c>
      <c r="F135" s="18">
        <f>962+36450</f>
        <v>37412</v>
      </c>
      <c r="G135" s="18">
        <v>0</v>
      </c>
      <c r="H135" s="18">
        <v>353</v>
      </c>
      <c r="I135" s="18">
        <f t="shared" si="7"/>
        <v>131778</v>
      </c>
    </row>
    <row r="136" spans="1:9">
      <c r="A136" s="23" t="s">
        <v>61</v>
      </c>
      <c r="B136" s="18">
        <v>7567</v>
      </c>
      <c r="C136" s="18">
        <v>31132</v>
      </c>
      <c r="D136" s="18">
        <v>49989</v>
      </c>
      <c r="E136" s="18">
        <f>54+3131</f>
        <v>3185</v>
      </c>
      <c r="F136" s="18">
        <f>32745+622</f>
        <v>33367</v>
      </c>
      <c r="G136" s="18">
        <v>0</v>
      </c>
      <c r="H136" s="18">
        <v>357</v>
      </c>
      <c r="I136" s="18">
        <f t="shared" si="7"/>
        <v>125597</v>
      </c>
    </row>
    <row r="137" spans="1:9">
      <c r="A137" s="23" t="s">
        <v>51</v>
      </c>
      <c r="B137" s="18">
        <v>7576</v>
      </c>
      <c r="C137" s="18">
        <v>36059</v>
      </c>
      <c r="D137" s="18">
        <v>51759</v>
      </c>
      <c r="E137" s="18">
        <f>70+3287</f>
        <v>3357</v>
      </c>
      <c r="F137" s="18">
        <f>38623+806</f>
        <v>39429</v>
      </c>
      <c r="G137" s="18">
        <v>0</v>
      </c>
      <c r="H137" s="18">
        <v>326</v>
      </c>
      <c r="I137" s="18">
        <f t="shared" si="7"/>
        <v>138506</v>
      </c>
    </row>
    <row r="138" spans="1:9" ht="13">
      <c r="A138" s="17" t="s">
        <v>23</v>
      </c>
      <c r="B138" s="18"/>
      <c r="C138" s="18"/>
      <c r="D138" s="18"/>
      <c r="E138" s="18"/>
      <c r="F138" s="18"/>
      <c r="G138" s="18"/>
      <c r="H138" s="18"/>
      <c r="I138" s="18"/>
    </row>
    <row r="139" spans="1:9">
      <c r="A139" s="23" t="s">
        <v>52</v>
      </c>
      <c r="B139" s="18">
        <v>7505</v>
      </c>
      <c r="C139" s="18">
        <v>37055</v>
      </c>
      <c r="D139" s="18">
        <v>51148</v>
      </c>
      <c r="E139" s="18">
        <v>3285</v>
      </c>
      <c r="F139" s="18">
        <v>41361</v>
      </c>
      <c r="G139" s="18">
        <v>4847</v>
      </c>
      <c r="H139" s="18">
        <v>316</v>
      </c>
      <c r="I139" s="18">
        <f t="shared" ref="I139:I150" si="8">SUM(B139:H139)</f>
        <v>145517</v>
      </c>
    </row>
    <row r="140" spans="1:9">
      <c r="A140" s="23" t="s">
        <v>53</v>
      </c>
      <c r="B140" s="18">
        <v>7543</v>
      </c>
      <c r="C140" s="18">
        <v>31310</v>
      </c>
      <c r="D140" s="18">
        <v>54470</v>
      </c>
      <c r="E140" s="18">
        <v>3529</v>
      </c>
      <c r="F140" s="18">
        <v>40560</v>
      </c>
      <c r="G140" s="18">
        <v>4972</v>
      </c>
      <c r="H140" s="18">
        <v>317</v>
      </c>
      <c r="I140" s="18">
        <f t="shared" si="8"/>
        <v>142701</v>
      </c>
    </row>
    <row r="141" spans="1:9">
      <c r="A141" s="23" t="s">
        <v>54</v>
      </c>
      <c r="B141" s="18">
        <v>7808</v>
      </c>
      <c r="C141" s="18">
        <v>34096</v>
      </c>
      <c r="D141" s="18">
        <v>49556</v>
      </c>
      <c r="E141" s="18">
        <v>3025</v>
      </c>
      <c r="F141" s="18">
        <v>48626</v>
      </c>
      <c r="G141" s="18">
        <v>4972</v>
      </c>
      <c r="H141" s="18">
        <v>311</v>
      </c>
      <c r="I141" s="18">
        <f t="shared" si="8"/>
        <v>148394</v>
      </c>
    </row>
    <row r="142" spans="1:9">
      <c r="A142" s="23" t="s">
        <v>55</v>
      </c>
      <c r="B142" s="18">
        <v>8690</v>
      </c>
      <c r="C142" s="18">
        <v>35894</v>
      </c>
      <c r="D142" s="18">
        <v>43683</v>
      </c>
      <c r="E142" s="18">
        <v>4188</v>
      </c>
      <c r="F142" s="18">
        <v>54365</v>
      </c>
      <c r="G142" s="18">
        <v>4972</v>
      </c>
      <c r="H142" s="18">
        <v>310</v>
      </c>
      <c r="I142" s="18">
        <f t="shared" si="8"/>
        <v>152102</v>
      </c>
    </row>
    <row r="143" spans="1:9">
      <c r="A143" s="23" t="s">
        <v>56</v>
      </c>
      <c r="B143" s="18">
        <v>8234</v>
      </c>
      <c r="C143" s="18">
        <v>35237</v>
      </c>
      <c r="D143" s="18">
        <v>47793</v>
      </c>
      <c r="E143" s="18">
        <v>4093</v>
      </c>
      <c r="F143" s="18">
        <v>52313</v>
      </c>
      <c r="G143" s="18">
        <v>4972</v>
      </c>
      <c r="H143" s="18">
        <v>295</v>
      </c>
      <c r="I143" s="18">
        <f t="shared" si="8"/>
        <v>152937</v>
      </c>
    </row>
    <row r="144" spans="1:9">
      <c r="A144" s="23" t="s">
        <v>57</v>
      </c>
      <c r="B144" s="18">
        <v>7987</v>
      </c>
      <c r="C144" s="18">
        <v>38584</v>
      </c>
      <c r="D144" s="18">
        <v>56604</v>
      </c>
      <c r="E144" s="18">
        <v>3698</v>
      </c>
      <c r="F144" s="18">
        <v>47441</v>
      </c>
      <c r="G144" s="18">
        <v>4972</v>
      </c>
      <c r="H144" s="18">
        <v>299</v>
      </c>
      <c r="I144" s="18">
        <f t="shared" si="8"/>
        <v>159585</v>
      </c>
    </row>
    <row r="145" spans="1:9">
      <c r="A145" s="23" t="s">
        <v>58</v>
      </c>
      <c r="B145" s="18">
        <v>8304</v>
      </c>
      <c r="C145" s="18">
        <v>35062</v>
      </c>
      <c r="D145" s="18">
        <v>61891</v>
      </c>
      <c r="E145" s="18">
        <v>3549</v>
      </c>
      <c r="F145" s="18">
        <v>47553</v>
      </c>
      <c r="G145" s="18">
        <v>4972</v>
      </c>
      <c r="H145" s="18">
        <v>297</v>
      </c>
      <c r="I145" s="18">
        <f t="shared" si="8"/>
        <v>161628</v>
      </c>
    </row>
    <row r="146" spans="1:9">
      <c r="A146" s="23" t="s">
        <v>59</v>
      </c>
      <c r="B146" s="18">
        <v>7809</v>
      </c>
      <c r="C146" s="18">
        <v>34538</v>
      </c>
      <c r="D146" s="18">
        <v>60827</v>
      </c>
      <c r="E146" s="18">
        <v>2880</v>
      </c>
      <c r="F146" s="18">
        <v>45202</v>
      </c>
      <c r="G146" s="18">
        <v>4972</v>
      </c>
      <c r="H146" s="18">
        <v>282</v>
      </c>
      <c r="I146" s="18">
        <f t="shared" si="8"/>
        <v>156510</v>
      </c>
    </row>
    <row r="147" spans="1:9">
      <c r="A147" s="23" t="s">
        <v>67</v>
      </c>
      <c r="B147" s="18">
        <v>7688</v>
      </c>
      <c r="C147" s="18">
        <v>37688</v>
      </c>
      <c r="D147" s="18">
        <v>54497</v>
      </c>
      <c r="E147" s="18">
        <v>3007</v>
      </c>
      <c r="F147" s="18">
        <v>43171</v>
      </c>
      <c r="G147" s="18">
        <v>4972</v>
      </c>
      <c r="H147" s="18">
        <v>285</v>
      </c>
      <c r="I147" s="18">
        <f t="shared" si="8"/>
        <v>151308</v>
      </c>
    </row>
    <row r="148" spans="1:9">
      <c r="A148" s="23" t="s">
        <v>60</v>
      </c>
      <c r="B148" s="18">
        <v>7717</v>
      </c>
      <c r="C148" s="18">
        <v>34304</v>
      </c>
      <c r="D148" s="18">
        <v>53204</v>
      </c>
      <c r="E148" s="18">
        <v>4352</v>
      </c>
      <c r="F148" s="18">
        <v>43997</v>
      </c>
      <c r="G148" s="18">
        <v>4972</v>
      </c>
      <c r="H148" s="18">
        <v>289</v>
      </c>
      <c r="I148" s="18">
        <f t="shared" si="8"/>
        <v>148835</v>
      </c>
    </row>
    <row r="149" spans="1:9">
      <c r="A149" s="23" t="s">
        <v>61</v>
      </c>
      <c r="B149" s="18">
        <v>8080</v>
      </c>
      <c r="C149" s="18">
        <v>35201</v>
      </c>
      <c r="D149" s="18">
        <v>46661</v>
      </c>
      <c r="E149" s="18">
        <v>4194</v>
      </c>
      <c r="F149" s="18">
        <v>47140</v>
      </c>
      <c r="G149" s="18">
        <v>4972</v>
      </c>
      <c r="H149" s="18">
        <v>273</v>
      </c>
      <c r="I149" s="18">
        <f t="shared" si="8"/>
        <v>146521</v>
      </c>
    </row>
    <row r="150" spans="1:9">
      <c r="A150" s="23" t="s">
        <v>51</v>
      </c>
      <c r="B150" s="18">
        <v>9910</v>
      </c>
      <c r="C150" s="18">
        <v>35889</v>
      </c>
      <c r="D150" s="18">
        <v>46413</v>
      </c>
      <c r="E150" s="18">
        <v>4378</v>
      </c>
      <c r="F150" s="18">
        <v>43557</v>
      </c>
      <c r="G150" s="18">
        <v>12442</v>
      </c>
      <c r="H150" s="18">
        <v>271</v>
      </c>
      <c r="I150" s="18">
        <f t="shared" si="8"/>
        <v>152860</v>
      </c>
    </row>
    <row r="151" spans="1:9" ht="13">
      <c r="A151" s="17" t="s">
        <v>24</v>
      </c>
      <c r="B151" s="18"/>
      <c r="C151" s="18"/>
      <c r="D151" s="18"/>
      <c r="E151" s="18"/>
      <c r="F151" s="18"/>
      <c r="G151" s="18"/>
      <c r="H151" s="18"/>
      <c r="I151" s="18"/>
    </row>
    <row r="152" spans="1:9">
      <c r="A152" s="23" t="s">
        <v>52</v>
      </c>
      <c r="B152" s="18">
        <v>8876</v>
      </c>
      <c r="C152" s="18">
        <v>27211</v>
      </c>
      <c r="D152" s="18">
        <v>39749</v>
      </c>
      <c r="E152" s="18">
        <v>4913</v>
      </c>
      <c r="F152" s="18">
        <v>38250</v>
      </c>
      <c r="G152" s="18">
        <v>9960</v>
      </c>
      <c r="H152" s="18">
        <v>275</v>
      </c>
      <c r="I152" s="18">
        <f t="shared" ref="I152:I163" si="9">SUM(B152:H152)</f>
        <v>129234</v>
      </c>
    </row>
    <row r="153" spans="1:9">
      <c r="A153" s="23" t="s">
        <v>53</v>
      </c>
      <c r="B153" s="18">
        <v>8239</v>
      </c>
      <c r="C153" s="18">
        <v>28016</v>
      </c>
      <c r="D153" s="18">
        <v>34130</v>
      </c>
      <c r="E153" s="18">
        <v>5387</v>
      </c>
      <c r="F153" s="18">
        <v>40079</v>
      </c>
      <c r="G153" s="18">
        <v>9960</v>
      </c>
      <c r="H153" s="18">
        <v>260</v>
      </c>
      <c r="I153" s="18">
        <f t="shared" si="9"/>
        <v>126071</v>
      </c>
    </row>
    <row r="154" spans="1:9">
      <c r="A154" s="23" t="s">
        <v>54</v>
      </c>
      <c r="B154" s="18">
        <v>8534</v>
      </c>
      <c r="C154" s="18">
        <v>26723</v>
      </c>
      <c r="D154" s="18">
        <v>39080</v>
      </c>
      <c r="E154" s="18">
        <v>3805</v>
      </c>
      <c r="F154" s="18">
        <v>44640</v>
      </c>
      <c r="G154" s="18">
        <v>9960</v>
      </c>
      <c r="H154" s="18">
        <v>257</v>
      </c>
      <c r="I154" s="18">
        <f t="shared" si="9"/>
        <v>132999</v>
      </c>
    </row>
    <row r="155" spans="1:9">
      <c r="A155" s="23" t="s">
        <v>55</v>
      </c>
      <c r="B155" s="18">
        <v>9272</v>
      </c>
      <c r="C155" s="18">
        <v>26590</v>
      </c>
      <c r="D155" s="18">
        <v>37262</v>
      </c>
      <c r="E155" s="18">
        <v>4667</v>
      </c>
      <c r="F155" s="18">
        <v>49803</v>
      </c>
      <c r="G155" s="18">
        <v>9960</v>
      </c>
      <c r="H155" s="18">
        <v>261</v>
      </c>
      <c r="I155" s="18">
        <f t="shared" si="9"/>
        <v>137815</v>
      </c>
    </row>
    <row r="156" spans="1:9">
      <c r="A156" s="23" t="s">
        <v>56</v>
      </c>
      <c r="B156" s="18">
        <v>9475</v>
      </c>
      <c r="C156" s="18">
        <v>27202</v>
      </c>
      <c r="D156" s="18">
        <v>40060</v>
      </c>
      <c r="E156" s="18">
        <v>3760</v>
      </c>
      <c r="F156" s="18">
        <f>46102+1537+85</f>
        <v>47724</v>
      </c>
      <c r="G156" s="18">
        <v>9960</v>
      </c>
      <c r="H156" s="18">
        <v>260</v>
      </c>
      <c r="I156" s="18">
        <f t="shared" si="9"/>
        <v>138441</v>
      </c>
    </row>
    <row r="157" spans="1:9">
      <c r="A157" s="23" t="s">
        <v>57</v>
      </c>
      <c r="B157" s="18">
        <v>9370</v>
      </c>
      <c r="C157" s="18">
        <v>31002</v>
      </c>
      <c r="D157" s="18">
        <v>41208</v>
      </c>
      <c r="E157" s="18">
        <v>3632</v>
      </c>
      <c r="F157" s="18">
        <f>46773+1013+215</f>
        <v>48001</v>
      </c>
      <c r="G157" s="18">
        <v>9960</v>
      </c>
      <c r="H157" s="18">
        <v>243</v>
      </c>
      <c r="I157" s="18">
        <f t="shared" si="9"/>
        <v>143416</v>
      </c>
    </row>
    <row r="158" spans="1:9">
      <c r="A158" s="23" t="s">
        <v>58</v>
      </c>
      <c r="B158" s="18">
        <v>8475</v>
      </c>
      <c r="C158" s="18">
        <v>33782</v>
      </c>
      <c r="D158" s="18">
        <v>44229</v>
      </c>
      <c r="E158" s="18">
        <v>3371</v>
      </c>
      <c r="F158" s="18">
        <v>44632</v>
      </c>
      <c r="G158" s="18">
        <v>9960</v>
      </c>
      <c r="H158" s="18">
        <v>246</v>
      </c>
      <c r="I158" s="18">
        <f t="shared" si="9"/>
        <v>144695</v>
      </c>
    </row>
    <row r="159" spans="1:9">
      <c r="A159" s="23" t="s">
        <v>59</v>
      </c>
      <c r="B159" s="18">
        <v>8533</v>
      </c>
      <c r="C159" s="18">
        <v>32993</v>
      </c>
      <c r="D159" s="18">
        <v>48451</v>
      </c>
      <c r="E159" s="18">
        <v>3519</v>
      </c>
      <c r="F159" s="18">
        <v>44920</v>
      </c>
      <c r="G159" s="18">
        <v>9960</v>
      </c>
      <c r="H159" s="18">
        <v>250</v>
      </c>
      <c r="I159" s="18">
        <f t="shared" si="9"/>
        <v>148626</v>
      </c>
    </row>
    <row r="160" spans="1:9">
      <c r="A160" s="23" t="s">
        <v>67</v>
      </c>
      <c r="B160" s="18">
        <v>9283</v>
      </c>
      <c r="C160" s="18">
        <v>28335</v>
      </c>
      <c r="D160" s="18">
        <v>55379</v>
      </c>
      <c r="E160" s="18">
        <v>3835</v>
      </c>
      <c r="F160" s="18">
        <v>47431</v>
      </c>
      <c r="G160" s="18">
        <v>9960</v>
      </c>
      <c r="H160" s="18">
        <v>253</v>
      </c>
      <c r="I160" s="18">
        <f t="shared" si="9"/>
        <v>154476</v>
      </c>
    </row>
    <row r="161" spans="1:9">
      <c r="A161" s="23" t="s">
        <v>60</v>
      </c>
      <c r="B161" s="18">
        <v>8966</v>
      </c>
      <c r="C161" s="18">
        <v>30552</v>
      </c>
      <c r="D161" s="18">
        <v>56101</v>
      </c>
      <c r="E161" s="18">
        <v>3370</v>
      </c>
      <c r="F161" s="18">
        <v>49986</v>
      </c>
      <c r="G161" s="18">
        <v>9960</v>
      </c>
      <c r="H161" s="18">
        <v>257</v>
      </c>
      <c r="I161" s="18">
        <f t="shared" si="9"/>
        <v>159192</v>
      </c>
    </row>
    <row r="162" spans="1:9">
      <c r="A162" s="23" t="s">
        <v>61</v>
      </c>
      <c r="B162" s="18">
        <v>9506</v>
      </c>
      <c r="C162" s="18">
        <v>32085</v>
      </c>
      <c r="D162" s="18">
        <v>58464</v>
      </c>
      <c r="E162" s="18">
        <v>3483</v>
      </c>
      <c r="F162" s="18">
        <v>51189</v>
      </c>
      <c r="G162" s="18">
        <v>9960</v>
      </c>
      <c r="H162" s="18">
        <v>260</v>
      </c>
      <c r="I162" s="18">
        <f t="shared" si="9"/>
        <v>164947</v>
      </c>
    </row>
    <row r="163" spans="1:9">
      <c r="A163" s="23" t="s">
        <v>51</v>
      </c>
      <c r="B163" s="18">
        <v>10869</v>
      </c>
      <c r="C163" s="18">
        <v>42497</v>
      </c>
      <c r="D163" s="18">
        <v>56062</v>
      </c>
      <c r="E163" s="18">
        <v>3991</v>
      </c>
      <c r="F163" s="18">
        <v>43531</v>
      </c>
      <c r="G163" s="18">
        <v>6240</v>
      </c>
      <c r="H163" s="18">
        <v>264</v>
      </c>
      <c r="I163" s="18">
        <f t="shared" si="9"/>
        <v>163454</v>
      </c>
    </row>
    <row r="164" spans="1:9" ht="14.25" customHeight="1">
      <c r="A164" s="17" t="s">
        <v>25</v>
      </c>
      <c r="B164" s="18"/>
      <c r="C164" s="18"/>
      <c r="D164" s="18"/>
      <c r="E164" s="18"/>
      <c r="F164" s="18"/>
      <c r="G164" s="18"/>
      <c r="H164" s="18"/>
      <c r="I164" s="18"/>
    </row>
    <row r="165" spans="1:9">
      <c r="A165" s="23" t="s">
        <v>52</v>
      </c>
      <c r="B165" s="18">
        <v>9400</v>
      </c>
      <c r="C165" s="18">
        <v>44111</v>
      </c>
      <c r="D165" s="18">
        <v>59582</v>
      </c>
      <c r="E165" s="18">
        <v>4479</v>
      </c>
      <c r="F165" s="18">
        <v>48710</v>
      </c>
      <c r="G165" s="18">
        <v>5000</v>
      </c>
      <c r="H165" s="18">
        <v>258</v>
      </c>
      <c r="I165" s="18">
        <f t="shared" ref="I165:I176" si="10">SUM(B165:H165)</f>
        <v>171540</v>
      </c>
    </row>
    <row r="166" spans="1:9">
      <c r="A166" s="23" t="s">
        <v>53</v>
      </c>
      <c r="B166" s="18">
        <v>9418</v>
      </c>
      <c r="C166" s="18">
        <v>46191</v>
      </c>
      <c r="D166" s="18">
        <v>60455</v>
      </c>
      <c r="E166" s="18">
        <v>3395</v>
      </c>
      <c r="F166" s="18">
        <v>43335</v>
      </c>
      <c r="G166" s="18">
        <v>5000</v>
      </c>
      <c r="H166" s="18">
        <v>236</v>
      </c>
      <c r="I166" s="18">
        <f t="shared" si="10"/>
        <v>168030</v>
      </c>
    </row>
    <row r="167" spans="1:9">
      <c r="A167" s="23" t="s">
        <v>54</v>
      </c>
      <c r="B167" s="18">
        <v>9530</v>
      </c>
      <c r="C167" s="18">
        <v>47158</v>
      </c>
      <c r="D167" s="18">
        <v>64182</v>
      </c>
      <c r="E167" s="18">
        <v>3500</v>
      </c>
      <c r="F167" s="18">
        <v>59335</v>
      </c>
      <c r="G167" s="18">
        <v>5000</v>
      </c>
      <c r="H167" s="18">
        <v>246</v>
      </c>
      <c r="I167" s="18">
        <f t="shared" si="10"/>
        <v>188951</v>
      </c>
    </row>
    <row r="168" spans="1:9">
      <c r="A168" s="23" t="s">
        <v>55</v>
      </c>
      <c r="B168" s="18">
        <v>10451</v>
      </c>
      <c r="C168" s="18">
        <v>48847</v>
      </c>
      <c r="D168" s="18">
        <v>66649</v>
      </c>
      <c r="E168" s="18">
        <v>3523</v>
      </c>
      <c r="F168" s="18">
        <v>71755</v>
      </c>
      <c r="G168" s="18">
        <v>5000</v>
      </c>
      <c r="H168" s="18">
        <v>273</v>
      </c>
      <c r="I168" s="18">
        <f t="shared" si="10"/>
        <v>206498</v>
      </c>
    </row>
    <row r="169" spans="1:9">
      <c r="A169" s="23" t="s">
        <v>56</v>
      </c>
      <c r="B169" s="18">
        <v>9998</v>
      </c>
      <c r="C169" s="18">
        <v>46965</v>
      </c>
      <c r="D169" s="18">
        <v>69239</v>
      </c>
      <c r="E169" s="18">
        <v>3754</v>
      </c>
      <c r="F169" s="18">
        <v>68300</v>
      </c>
      <c r="G169" s="18">
        <v>5000</v>
      </c>
      <c r="H169" s="18">
        <v>0</v>
      </c>
      <c r="I169" s="18">
        <f t="shared" si="10"/>
        <v>203256</v>
      </c>
    </row>
    <row r="170" spans="1:9">
      <c r="A170" s="23" t="s">
        <v>57</v>
      </c>
      <c r="B170" s="18">
        <v>10636</v>
      </c>
      <c r="C170" s="18">
        <v>47400</v>
      </c>
      <c r="D170" s="18">
        <v>69296</v>
      </c>
      <c r="E170" s="18">
        <v>4488</v>
      </c>
      <c r="F170" s="18">
        <v>71081</v>
      </c>
      <c r="G170" s="18">
        <v>5000</v>
      </c>
      <c r="H170" s="18">
        <v>0</v>
      </c>
      <c r="I170" s="18">
        <f t="shared" si="10"/>
        <v>207901</v>
      </c>
    </row>
    <row r="171" spans="1:9">
      <c r="A171" s="23" t="s">
        <v>58</v>
      </c>
      <c r="B171" s="18">
        <v>9976</v>
      </c>
      <c r="C171" s="18">
        <v>46422</v>
      </c>
      <c r="D171" s="18">
        <v>68344</v>
      </c>
      <c r="E171" s="18">
        <v>3912</v>
      </c>
      <c r="F171" s="18">
        <v>54763</v>
      </c>
      <c r="G171" s="18">
        <v>5000</v>
      </c>
      <c r="H171" s="18">
        <v>0</v>
      </c>
      <c r="I171" s="18">
        <f t="shared" si="10"/>
        <v>188417</v>
      </c>
    </row>
    <row r="172" spans="1:9">
      <c r="A172" s="23" t="s">
        <v>59</v>
      </c>
      <c r="B172" s="18">
        <v>10543</v>
      </c>
      <c r="C172" s="18">
        <v>55424</v>
      </c>
      <c r="D172" s="18">
        <v>65099</v>
      </c>
      <c r="E172" s="18">
        <v>4474</v>
      </c>
      <c r="F172" s="18">
        <v>54386</v>
      </c>
      <c r="G172" s="18">
        <v>5000</v>
      </c>
      <c r="H172" s="18">
        <v>0</v>
      </c>
      <c r="I172" s="18">
        <f t="shared" si="10"/>
        <v>194926</v>
      </c>
    </row>
    <row r="173" spans="1:9">
      <c r="A173" s="23" t="s">
        <v>67</v>
      </c>
      <c r="B173" s="18">
        <v>10268</v>
      </c>
      <c r="C173" s="18">
        <v>46507</v>
      </c>
      <c r="D173" s="18">
        <v>66526</v>
      </c>
      <c r="E173" s="18">
        <v>3796</v>
      </c>
      <c r="F173" s="18">
        <v>56976</v>
      </c>
      <c r="G173" s="18">
        <v>5000</v>
      </c>
      <c r="H173" s="18">
        <v>0</v>
      </c>
      <c r="I173" s="18">
        <f t="shared" si="10"/>
        <v>189073</v>
      </c>
    </row>
    <row r="174" spans="1:9">
      <c r="A174" s="23" t="s">
        <v>60</v>
      </c>
      <c r="B174" s="18">
        <v>9784</v>
      </c>
      <c r="C174" s="18">
        <v>44940</v>
      </c>
      <c r="D174" s="18">
        <v>45327</v>
      </c>
      <c r="E174" s="18">
        <v>3324</v>
      </c>
      <c r="F174" s="18">
        <v>58107</v>
      </c>
      <c r="G174" s="18">
        <v>5000</v>
      </c>
      <c r="H174" s="18">
        <v>0</v>
      </c>
      <c r="I174" s="18">
        <f t="shared" si="10"/>
        <v>166482</v>
      </c>
    </row>
    <row r="175" spans="1:9">
      <c r="A175" s="23" t="s">
        <v>61</v>
      </c>
      <c r="B175" s="18">
        <v>10447</v>
      </c>
      <c r="C175" s="18">
        <v>45004</v>
      </c>
      <c r="D175" s="18">
        <v>38811</v>
      </c>
      <c r="E175" s="18">
        <v>3871</v>
      </c>
      <c r="F175" s="18">
        <v>60549</v>
      </c>
      <c r="G175" s="18">
        <v>5000</v>
      </c>
      <c r="H175" s="18">
        <v>0</v>
      </c>
      <c r="I175" s="18">
        <f t="shared" si="10"/>
        <v>163682</v>
      </c>
    </row>
    <row r="176" spans="1:9">
      <c r="A176" s="23" t="s">
        <v>51</v>
      </c>
      <c r="B176" s="18">
        <v>11588</v>
      </c>
      <c r="C176" s="18">
        <v>44623</v>
      </c>
      <c r="D176" s="18">
        <v>36444</v>
      </c>
      <c r="E176" s="18">
        <v>5197</v>
      </c>
      <c r="F176" s="18">
        <v>69180</v>
      </c>
      <c r="G176" s="18">
        <v>2750</v>
      </c>
      <c r="H176" s="18">
        <v>0</v>
      </c>
      <c r="I176" s="18">
        <f t="shared" si="10"/>
        <v>169782</v>
      </c>
    </row>
    <row r="177" spans="1:9" ht="13">
      <c r="A177" s="17" t="s">
        <v>26</v>
      </c>
      <c r="B177" s="18"/>
      <c r="C177" s="18"/>
      <c r="D177" s="18"/>
      <c r="E177" s="18"/>
      <c r="F177" s="18"/>
      <c r="G177" s="18"/>
      <c r="H177" s="18"/>
      <c r="I177" s="18"/>
    </row>
    <row r="178" spans="1:9">
      <c r="A178" s="23" t="s">
        <v>52</v>
      </c>
      <c r="B178" s="18">
        <v>11552</v>
      </c>
      <c r="C178" s="18">
        <v>44633</v>
      </c>
      <c r="D178" s="18">
        <v>35621</v>
      </c>
      <c r="E178" s="18">
        <v>4534</v>
      </c>
      <c r="F178" s="18">
        <v>74049</v>
      </c>
      <c r="G178" s="18">
        <v>2000</v>
      </c>
      <c r="H178" s="18">
        <v>0</v>
      </c>
      <c r="I178" s="18">
        <f t="shared" ref="I178:I189" si="11">SUM(B178:H178)</f>
        <v>172389</v>
      </c>
    </row>
    <row r="179" spans="1:9">
      <c r="A179" s="23" t="s">
        <v>53</v>
      </c>
      <c r="B179" s="18">
        <v>10878</v>
      </c>
      <c r="C179" s="18">
        <v>45382</v>
      </c>
      <c r="D179" s="18">
        <v>41640</v>
      </c>
      <c r="E179" s="18">
        <v>3896</v>
      </c>
      <c r="F179" s="18">
        <v>72714</v>
      </c>
      <c r="G179" s="18">
        <v>2000</v>
      </c>
      <c r="H179" s="18">
        <v>0</v>
      </c>
      <c r="I179" s="18">
        <f t="shared" si="11"/>
        <v>176510</v>
      </c>
    </row>
    <row r="180" spans="1:9">
      <c r="A180" s="23" t="s">
        <v>54</v>
      </c>
      <c r="B180" s="18">
        <v>11339</v>
      </c>
      <c r="C180" s="18">
        <v>46853</v>
      </c>
      <c r="D180" s="18">
        <v>43954</v>
      </c>
      <c r="E180" s="18">
        <v>5603</v>
      </c>
      <c r="F180" s="18">
        <v>84272</v>
      </c>
      <c r="G180" s="18">
        <v>2000</v>
      </c>
      <c r="H180" s="18">
        <v>0</v>
      </c>
      <c r="I180" s="18">
        <f t="shared" si="11"/>
        <v>194021</v>
      </c>
    </row>
    <row r="181" spans="1:9">
      <c r="A181" s="23" t="s">
        <v>55</v>
      </c>
      <c r="B181" s="18">
        <v>11325</v>
      </c>
      <c r="C181" s="18">
        <v>45784</v>
      </c>
      <c r="D181" s="18">
        <v>45004</v>
      </c>
      <c r="E181" s="18">
        <v>4416</v>
      </c>
      <c r="F181" s="18">
        <v>88966</v>
      </c>
      <c r="G181" s="18">
        <v>2000</v>
      </c>
      <c r="H181" s="18">
        <v>0</v>
      </c>
      <c r="I181" s="18">
        <f t="shared" si="11"/>
        <v>197495</v>
      </c>
    </row>
    <row r="182" spans="1:9">
      <c r="A182" s="23" t="s">
        <v>56</v>
      </c>
      <c r="B182" s="18">
        <v>12493</v>
      </c>
      <c r="C182" s="18">
        <v>46307</v>
      </c>
      <c r="D182" s="18">
        <v>43409</v>
      </c>
      <c r="E182" s="18">
        <v>3802</v>
      </c>
      <c r="F182" s="18">
        <v>76772</v>
      </c>
      <c r="G182" s="18">
        <v>2000</v>
      </c>
      <c r="H182" s="18">
        <v>0</v>
      </c>
      <c r="I182" s="18">
        <f t="shared" si="11"/>
        <v>184783</v>
      </c>
    </row>
    <row r="183" spans="1:9">
      <c r="A183" s="23" t="s">
        <v>57</v>
      </c>
      <c r="B183" s="18">
        <v>12274</v>
      </c>
      <c r="C183" s="18">
        <v>47338</v>
      </c>
      <c r="D183" s="18">
        <v>50627</v>
      </c>
      <c r="E183" s="18">
        <v>5050</v>
      </c>
      <c r="F183" s="18">
        <v>82349</v>
      </c>
      <c r="G183" s="18">
        <v>2000</v>
      </c>
      <c r="H183" s="18">
        <v>0</v>
      </c>
      <c r="I183" s="18">
        <f t="shared" si="11"/>
        <v>199638</v>
      </c>
    </row>
    <row r="184" spans="1:9">
      <c r="A184" s="23" t="s">
        <v>58</v>
      </c>
      <c r="B184" s="18">
        <v>11714</v>
      </c>
      <c r="C184" s="18">
        <v>46414</v>
      </c>
      <c r="D184" s="18">
        <v>50454</v>
      </c>
      <c r="E184" s="18">
        <v>3123</v>
      </c>
      <c r="F184" s="18">
        <v>78697</v>
      </c>
      <c r="G184" s="18">
        <v>2000</v>
      </c>
      <c r="H184" s="18">
        <v>0</v>
      </c>
      <c r="I184" s="18">
        <f t="shared" si="11"/>
        <v>192402</v>
      </c>
    </row>
    <row r="185" spans="1:9">
      <c r="A185" s="23" t="s">
        <v>59</v>
      </c>
      <c r="B185" s="18">
        <v>12949</v>
      </c>
      <c r="C185" s="18">
        <v>49355</v>
      </c>
      <c r="D185" s="18">
        <v>54193</v>
      </c>
      <c r="E185" s="18">
        <v>3952</v>
      </c>
      <c r="F185" s="18">
        <v>80998</v>
      </c>
      <c r="G185" s="18">
        <v>2000</v>
      </c>
      <c r="H185" s="18">
        <v>0</v>
      </c>
      <c r="I185" s="18">
        <f t="shared" si="11"/>
        <v>203447</v>
      </c>
    </row>
    <row r="186" spans="1:9">
      <c r="A186" s="23" t="s">
        <v>67</v>
      </c>
      <c r="B186" s="18">
        <v>11833</v>
      </c>
      <c r="C186" s="18">
        <v>47689</v>
      </c>
      <c r="D186" s="18">
        <v>58543</v>
      </c>
      <c r="E186" s="18">
        <v>4307</v>
      </c>
      <c r="F186" s="18">
        <v>79766</v>
      </c>
      <c r="G186" s="18">
        <v>2000</v>
      </c>
      <c r="H186" s="18">
        <v>0</v>
      </c>
      <c r="I186" s="18">
        <f t="shared" si="11"/>
        <v>204138</v>
      </c>
    </row>
    <row r="187" spans="1:9">
      <c r="A187" s="23" t="s">
        <v>60</v>
      </c>
      <c r="B187" s="18">
        <v>11673</v>
      </c>
      <c r="C187" s="18">
        <v>48084</v>
      </c>
      <c r="D187" s="18">
        <v>56806</v>
      </c>
      <c r="E187" s="18">
        <v>4599</v>
      </c>
      <c r="F187" s="18">
        <v>70071</v>
      </c>
      <c r="G187" s="18">
        <v>2000</v>
      </c>
      <c r="H187" s="18">
        <v>0</v>
      </c>
      <c r="I187" s="18">
        <f t="shared" si="11"/>
        <v>193233</v>
      </c>
    </row>
    <row r="188" spans="1:9">
      <c r="A188" s="23" t="s">
        <v>61</v>
      </c>
      <c r="B188" s="18">
        <v>12064</v>
      </c>
      <c r="C188" s="18">
        <v>50931</v>
      </c>
      <c r="D188" s="18">
        <v>51100</v>
      </c>
      <c r="E188" s="18">
        <v>5203</v>
      </c>
      <c r="F188" s="18">
        <v>65806</v>
      </c>
      <c r="G188" s="18">
        <v>2000</v>
      </c>
      <c r="H188" s="18">
        <v>0</v>
      </c>
      <c r="I188" s="18">
        <f t="shared" si="11"/>
        <v>187104</v>
      </c>
    </row>
    <row r="189" spans="1:9">
      <c r="A189" s="23" t="s">
        <v>51</v>
      </c>
      <c r="B189" s="18">
        <v>13401</v>
      </c>
      <c r="C189" s="18">
        <v>48343</v>
      </c>
      <c r="D189" s="18">
        <v>52970</v>
      </c>
      <c r="E189" s="18">
        <v>5166</v>
      </c>
      <c r="F189" s="18">
        <v>67616</v>
      </c>
      <c r="G189" s="18">
        <v>800</v>
      </c>
      <c r="H189" s="18">
        <v>0</v>
      </c>
      <c r="I189" s="18">
        <f t="shared" si="11"/>
        <v>188296</v>
      </c>
    </row>
    <row r="190" spans="1:9" ht="13">
      <c r="A190" s="17" t="s">
        <v>27</v>
      </c>
      <c r="B190" s="18"/>
      <c r="C190" s="18"/>
      <c r="D190" s="18"/>
      <c r="E190" s="18"/>
      <c r="F190" s="18"/>
      <c r="G190" s="18"/>
      <c r="H190" s="18"/>
      <c r="I190" s="18"/>
    </row>
    <row r="191" spans="1:9">
      <c r="A191" s="23" t="s">
        <v>52</v>
      </c>
      <c r="B191" s="18">
        <v>13649</v>
      </c>
      <c r="C191" s="18">
        <v>51417</v>
      </c>
      <c r="D191" s="18">
        <v>56832</v>
      </c>
      <c r="E191" s="18">
        <v>3765</v>
      </c>
      <c r="F191" s="18">
        <v>68356</v>
      </c>
      <c r="G191" s="18">
        <v>0</v>
      </c>
      <c r="H191" s="18">
        <v>0</v>
      </c>
      <c r="I191" s="18">
        <f t="shared" ref="I191:I202" si="12">SUM(B191:H191)</f>
        <v>194019</v>
      </c>
    </row>
    <row r="192" spans="1:9">
      <c r="A192" s="23" t="s">
        <v>53</v>
      </c>
      <c r="B192" s="18">
        <v>12988</v>
      </c>
      <c r="C192" s="18">
        <v>52577</v>
      </c>
      <c r="D192" s="18">
        <v>55216</v>
      </c>
      <c r="E192" s="18">
        <v>4625</v>
      </c>
      <c r="F192" s="18">
        <v>66822</v>
      </c>
      <c r="G192" s="18">
        <v>0</v>
      </c>
      <c r="H192" s="18">
        <v>0</v>
      </c>
      <c r="I192" s="18">
        <f t="shared" si="12"/>
        <v>192228</v>
      </c>
    </row>
    <row r="193" spans="1:9">
      <c r="A193" s="23" t="s">
        <v>54</v>
      </c>
      <c r="B193" s="18">
        <v>13284</v>
      </c>
      <c r="C193" s="18">
        <v>53451</v>
      </c>
      <c r="D193" s="18">
        <v>57370</v>
      </c>
      <c r="E193" s="18">
        <v>4916</v>
      </c>
      <c r="F193" s="18">
        <v>79491</v>
      </c>
      <c r="G193" s="18">
        <v>0</v>
      </c>
      <c r="H193" s="18">
        <v>0</v>
      </c>
      <c r="I193" s="18">
        <f t="shared" si="12"/>
        <v>208512</v>
      </c>
    </row>
    <row r="194" spans="1:9">
      <c r="A194" s="23" t="s">
        <v>55</v>
      </c>
      <c r="B194" s="18">
        <v>12309</v>
      </c>
      <c r="C194" s="18">
        <v>51965</v>
      </c>
      <c r="D194" s="18">
        <v>59489</v>
      </c>
      <c r="E194" s="18">
        <v>5172</v>
      </c>
      <c r="F194" s="18">
        <v>75420</v>
      </c>
      <c r="G194" s="18">
        <v>0</v>
      </c>
      <c r="H194" s="18">
        <v>0</v>
      </c>
      <c r="I194" s="18">
        <f t="shared" si="12"/>
        <v>204355</v>
      </c>
    </row>
    <row r="195" spans="1:9">
      <c r="A195" s="23" t="s">
        <v>56</v>
      </c>
      <c r="B195" s="18">
        <v>12540</v>
      </c>
      <c r="C195" s="18">
        <v>52189</v>
      </c>
      <c r="D195" s="18">
        <v>60369</v>
      </c>
      <c r="E195" s="18">
        <v>5416</v>
      </c>
      <c r="F195" s="18">
        <v>74407</v>
      </c>
      <c r="G195" s="18">
        <v>0</v>
      </c>
      <c r="H195" s="18">
        <v>0</v>
      </c>
      <c r="I195" s="18">
        <f t="shared" si="12"/>
        <v>204921</v>
      </c>
    </row>
    <row r="196" spans="1:9">
      <c r="A196" s="23" t="s">
        <v>57</v>
      </c>
      <c r="B196" s="18">
        <v>13778</v>
      </c>
      <c r="C196" s="18">
        <v>49401</v>
      </c>
      <c r="D196" s="18">
        <v>64953</v>
      </c>
      <c r="E196" s="18">
        <v>5220</v>
      </c>
      <c r="F196" s="18">
        <v>67390</v>
      </c>
      <c r="G196" s="18">
        <v>0</v>
      </c>
      <c r="H196" s="18">
        <v>0</v>
      </c>
      <c r="I196" s="18">
        <f t="shared" si="12"/>
        <v>200742</v>
      </c>
    </row>
    <row r="197" spans="1:9">
      <c r="A197" s="23" t="s">
        <v>58</v>
      </c>
      <c r="B197" s="18">
        <v>13454</v>
      </c>
      <c r="C197" s="18">
        <v>52609</v>
      </c>
      <c r="D197" s="18">
        <v>66830</v>
      </c>
      <c r="E197" s="18">
        <v>5616</v>
      </c>
      <c r="F197" s="18">
        <v>65794</v>
      </c>
      <c r="G197" s="18">
        <v>0</v>
      </c>
      <c r="H197" s="18">
        <v>0</v>
      </c>
      <c r="I197" s="18">
        <f t="shared" si="12"/>
        <v>204303</v>
      </c>
    </row>
    <row r="198" spans="1:9">
      <c r="A198" s="23" t="s">
        <v>59</v>
      </c>
      <c r="B198" s="18">
        <v>13670</v>
      </c>
      <c r="C198" s="18">
        <v>53242</v>
      </c>
      <c r="D198" s="18">
        <v>65649</v>
      </c>
      <c r="E198" s="18">
        <v>5000</v>
      </c>
      <c r="F198" s="18">
        <v>74171</v>
      </c>
      <c r="G198" s="18">
        <v>0</v>
      </c>
      <c r="H198" s="18">
        <v>0</v>
      </c>
      <c r="I198" s="18">
        <f t="shared" si="12"/>
        <v>211732</v>
      </c>
    </row>
    <row r="199" spans="1:9">
      <c r="A199" s="23" t="s">
        <v>67</v>
      </c>
      <c r="B199" s="18">
        <v>13167</v>
      </c>
      <c r="C199" s="18">
        <v>55444</v>
      </c>
      <c r="D199" s="18">
        <v>60434</v>
      </c>
      <c r="E199" s="18">
        <v>5303</v>
      </c>
      <c r="F199" s="18">
        <v>78289</v>
      </c>
      <c r="G199" s="18">
        <v>0</v>
      </c>
      <c r="H199" s="18">
        <v>0</v>
      </c>
      <c r="I199" s="18">
        <f t="shared" si="12"/>
        <v>212637</v>
      </c>
    </row>
    <row r="200" spans="1:9">
      <c r="A200" s="23" t="s">
        <v>60</v>
      </c>
      <c r="B200" s="18">
        <v>12383</v>
      </c>
      <c r="C200" s="18">
        <v>48591</v>
      </c>
      <c r="D200" s="18">
        <v>49916</v>
      </c>
      <c r="E200" s="18">
        <v>4855</v>
      </c>
      <c r="F200" s="18">
        <v>74378</v>
      </c>
      <c r="G200" s="18">
        <v>5500</v>
      </c>
      <c r="H200" s="18">
        <v>0</v>
      </c>
      <c r="I200" s="18">
        <f t="shared" si="12"/>
        <v>195623</v>
      </c>
    </row>
    <row r="201" spans="1:9">
      <c r="A201" s="23" t="s">
        <v>61</v>
      </c>
      <c r="B201" s="18">
        <v>14839</v>
      </c>
      <c r="C201" s="18">
        <v>42037</v>
      </c>
      <c r="D201" s="18">
        <v>54080</v>
      </c>
      <c r="E201" s="18">
        <v>5587</v>
      </c>
      <c r="F201" s="18">
        <v>67410</v>
      </c>
      <c r="G201" s="18">
        <v>12875</v>
      </c>
      <c r="H201" s="18">
        <v>98</v>
      </c>
      <c r="I201" s="18">
        <f t="shared" si="12"/>
        <v>196926</v>
      </c>
    </row>
    <row r="202" spans="1:9">
      <c r="A202" s="23" t="s">
        <v>51</v>
      </c>
      <c r="B202" s="18">
        <v>15621</v>
      </c>
      <c r="C202" s="18">
        <v>43218</v>
      </c>
      <c r="D202" s="18">
        <v>49787</v>
      </c>
      <c r="E202" s="18">
        <v>5526</v>
      </c>
      <c r="F202" s="18">
        <v>67320</v>
      </c>
      <c r="G202" s="18">
        <v>17771</v>
      </c>
      <c r="H202" s="18">
        <v>3783</v>
      </c>
      <c r="I202" s="18">
        <f t="shared" si="12"/>
        <v>203026</v>
      </c>
    </row>
    <row r="203" spans="1:9" ht="13.5" customHeight="1">
      <c r="A203" s="17" t="s">
        <v>28</v>
      </c>
      <c r="B203" s="18"/>
      <c r="C203" s="18"/>
      <c r="D203" s="18"/>
      <c r="E203" s="18"/>
      <c r="F203" s="18"/>
      <c r="G203" s="18"/>
      <c r="H203" s="18"/>
      <c r="I203" s="18"/>
    </row>
    <row r="204" spans="1:9">
      <c r="A204" s="23" t="s">
        <v>52</v>
      </c>
      <c r="B204" s="18">
        <v>15215</v>
      </c>
      <c r="C204" s="18">
        <v>35533</v>
      </c>
      <c r="D204" s="18">
        <v>44030</v>
      </c>
      <c r="E204" s="18">
        <v>4719</v>
      </c>
      <c r="F204" s="18">
        <v>67017</v>
      </c>
      <c r="G204" s="18">
        <v>23269</v>
      </c>
      <c r="H204" s="18">
        <v>9493</v>
      </c>
      <c r="I204" s="18">
        <f t="shared" ref="I204:I215" si="13">SUM(B204:H204)</f>
        <v>199276</v>
      </c>
    </row>
    <row r="205" spans="1:9">
      <c r="A205" s="23" t="s">
        <v>53</v>
      </c>
      <c r="B205" s="18">
        <v>14549</v>
      </c>
      <c r="C205" s="18">
        <v>37154</v>
      </c>
      <c r="D205" s="18">
        <v>37443</v>
      </c>
      <c r="E205" s="18">
        <v>4693</v>
      </c>
      <c r="F205" s="18">
        <v>73862</v>
      </c>
      <c r="G205" s="18">
        <v>23269</v>
      </c>
      <c r="H205" s="18">
        <v>9959</v>
      </c>
      <c r="I205" s="18">
        <f t="shared" si="13"/>
        <v>200929</v>
      </c>
    </row>
    <row r="206" spans="1:9">
      <c r="A206" s="23" t="s">
        <v>54</v>
      </c>
      <c r="B206" s="18">
        <v>14517</v>
      </c>
      <c r="C206" s="18">
        <v>40505</v>
      </c>
      <c r="D206" s="18">
        <v>41161</v>
      </c>
      <c r="E206" s="18">
        <v>5563</v>
      </c>
      <c r="F206" s="18">
        <v>71135</v>
      </c>
      <c r="G206" s="18">
        <v>23269</v>
      </c>
      <c r="H206" s="18">
        <v>10652</v>
      </c>
      <c r="I206" s="18">
        <f t="shared" si="13"/>
        <v>206802</v>
      </c>
    </row>
    <row r="207" spans="1:9">
      <c r="A207" s="23" t="s">
        <v>55</v>
      </c>
      <c r="B207" s="18">
        <v>15469</v>
      </c>
      <c r="C207" s="18">
        <v>39447</v>
      </c>
      <c r="D207" s="18">
        <v>48096</v>
      </c>
      <c r="E207" s="18">
        <v>5582</v>
      </c>
      <c r="F207" s="18">
        <v>71888</v>
      </c>
      <c r="G207" s="18">
        <v>23269</v>
      </c>
      <c r="H207" s="18">
        <v>11352</v>
      </c>
      <c r="I207" s="18">
        <f t="shared" si="13"/>
        <v>215103</v>
      </c>
    </row>
    <row r="208" spans="1:9">
      <c r="A208" s="23" t="s">
        <v>56</v>
      </c>
      <c r="B208" s="18">
        <v>13989</v>
      </c>
      <c r="C208" s="18">
        <v>43348</v>
      </c>
      <c r="D208" s="18">
        <v>50828</v>
      </c>
      <c r="E208" s="18">
        <v>5077</v>
      </c>
      <c r="F208" s="18">
        <v>69470</v>
      </c>
      <c r="G208" s="18">
        <v>23269</v>
      </c>
      <c r="H208" s="18">
        <v>10638</v>
      </c>
      <c r="I208" s="18">
        <f t="shared" si="13"/>
        <v>216619</v>
      </c>
    </row>
    <row r="209" spans="1:9">
      <c r="A209" s="23" t="s">
        <v>57</v>
      </c>
      <c r="B209" s="18">
        <v>14018</v>
      </c>
      <c r="C209" s="18">
        <v>44268</v>
      </c>
      <c r="D209" s="18">
        <v>60537</v>
      </c>
      <c r="E209" s="18">
        <v>5247</v>
      </c>
      <c r="F209" s="18">
        <v>65597</v>
      </c>
      <c r="G209" s="18">
        <v>23269</v>
      </c>
      <c r="H209" s="18">
        <v>11133</v>
      </c>
      <c r="I209" s="18">
        <f t="shared" si="13"/>
        <v>224069</v>
      </c>
    </row>
    <row r="210" spans="1:9">
      <c r="A210" s="23" t="s">
        <v>58</v>
      </c>
      <c r="B210" s="18">
        <v>14177</v>
      </c>
      <c r="C210" s="18">
        <v>50659</v>
      </c>
      <c r="D210" s="18">
        <v>68642</v>
      </c>
      <c r="E210" s="18">
        <v>5653</v>
      </c>
      <c r="F210" s="18">
        <v>87724</v>
      </c>
      <c r="G210" s="18">
        <v>23269</v>
      </c>
      <c r="H210" s="18">
        <v>11631</v>
      </c>
      <c r="I210" s="18">
        <f t="shared" si="13"/>
        <v>261755</v>
      </c>
    </row>
    <row r="211" spans="1:9">
      <c r="A211" s="23" t="s">
        <v>59</v>
      </c>
      <c r="B211" s="18">
        <v>14809</v>
      </c>
      <c r="C211" s="18">
        <v>41465</v>
      </c>
      <c r="D211" s="18">
        <v>64908</v>
      </c>
      <c r="E211" s="18">
        <v>6355</v>
      </c>
      <c r="F211" s="18">
        <v>84899</v>
      </c>
      <c r="G211" s="18">
        <v>23269</v>
      </c>
      <c r="H211" s="18">
        <v>11478</v>
      </c>
      <c r="I211" s="18">
        <f t="shared" si="13"/>
        <v>247183</v>
      </c>
    </row>
    <row r="212" spans="1:9">
      <c r="A212" s="23" t="s">
        <v>67</v>
      </c>
      <c r="B212" s="18">
        <v>14500</v>
      </c>
      <c r="C212" s="18">
        <v>41898</v>
      </c>
      <c r="D212" s="18">
        <v>63168</v>
      </c>
      <c r="E212" s="18">
        <v>7127</v>
      </c>
      <c r="F212" s="18">
        <v>87011</v>
      </c>
      <c r="G212" s="18">
        <v>23269</v>
      </c>
      <c r="H212" s="18">
        <v>11809</v>
      </c>
      <c r="I212" s="18">
        <f t="shared" si="13"/>
        <v>248782</v>
      </c>
    </row>
    <row r="213" spans="1:9">
      <c r="A213" s="23" t="s">
        <v>60</v>
      </c>
      <c r="B213" s="18">
        <v>14952</v>
      </c>
      <c r="C213" s="18">
        <v>41553</v>
      </c>
      <c r="D213" s="18">
        <v>61554</v>
      </c>
      <c r="E213" s="18">
        <v>6165</v>
      </c>
      <c r="F213" s="18">
        <v>78195</v>
      </c>
      <c r="G213" s="18">
        <v>23269</v>
      </c>
      <c r="H213" s="18">
        <v>12241</v>
      </c>
      <c r="I213" s="18">
        <f t="shared" si="13"/>
        <v>237929</v>
      </c>
    </row>
    <row r="214" spans="1:9">
      <c r="A214" s="23" t="s">
        <v>61</v>
      </c>
      <c r="B214" s="18">
        <v>15602</v>
      </c>
      <c r="C214" s="18">
        <v>42794</v>
      </c>
      <c r="D214" s="18">
        <v>59948</v>
      </c>
      <c r="E214" s="18">
        <v>6608</v>
      </c>
      <c r="F214" s="18">
        <v>79727</v>
      </c>
      <c r="G214" s="18">
        <v>23269</v>
      </c>
      <c r="H214" s="18">
        <v>17118</v>
      </c>
      <c r="I214" s="18">
        <f t="shared" si="13"/>
        <v>245066</v>
      </c>
    </row>
    <row r="215" spans="1:9">
      <c r="A215" s="23" t="s">
        <v>51</v>
      </c>
      <c r="B215" s="18">
        <v>19526</v>
      </c>
      <c r="C215" s="18">
        <v>42340</v>
      </c>
      <c r="D215" s="18">
        <v>53474</v>
      </c>
      <c r="E215" s="18">
        <v>6855</v>
      </c>
      <c r="F215" s="18">
        <v>85235</v>
      </c>
      <c r="G215" s="18">
        <v>23269</v>
      </c>
      <c r="H215" s="18">
        <v>22179</v>
      </c>
      <c r="I215" s="18">
        <f t="shared" si="13"/>
        <v>252878</v>
      </c>
    </row>
    <row r="217" spans="1:9">
      <c r="B217" s="18"/>
    </row>
  </sheetData>
  <mergeCells count="2">
    <mergeCell ref="A1:I1"/>
    <mergeCell ref="G4:H4"/>
  </mergeCells>
  <phoneticPr fontId="0" type="noConversion"/>
  <printOptions horizontalCentered="1"/>
  <pageMargins left="0" right="0" top="0.5" bottom="0.5" header="0.5" footer="0.25"/>
  <pageSetup scale="71" orientation="landscape" r:id="rId1"/>
  <headerFooter alignWithMargins="0">
    <oddFooter>&amp;C&amp;"Century Schoolbook,Bold"&amp;12 &amp;"Courier,Regular"&amp;10 &amp;"Arial,Regular"&amp;P</oddFooter>
  </headerFooter>
  <rowBreaks count="5" manualBreakCount="5">
    <brk id="46" max="16383" man="1"/>
    <brk id="85" max="16383" man="1"/>
    <brk id="124" max="16383" man="1"/>
    <brk id="163" max="16383" man="1"/>
    <brk id="202" max="16383" man="1"/>
  </rowBreaks>
  <ignoredErrors>
    <ignoredError sqref="A7 A47 A9 A11 A13 A15 A17 A19 A24 A29 A34"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350"/>
  <sheetViews>
    <sheetView showGridLines="0" tabSelected="1" zoomScaleNormal="100" zoomScaleSheetLayoutView="100" workbookViewId="0">
      <pane ySplit="7" topLeftCell="A333" activePane="bottomLeft" state="frozen"/>
      <selection pane="bottomLeft" activeCell="A3" sqref="A3"/>
    </sheetView>
  </sheetViews>
  <sheetFormatPr defaultColWidth="9" defaultRowHeight="12.5"/>
  <cols>
    <col min="1" max="1" width="8.25" style="1" customWidth="1"/>
    <col min="2" max="2" width="9.58203125" style="1" customWidth="1"/>
    <col min="3" max="3" width="9.75" style="1" customWidth="1"/>
    <col min="4" max="4" width="13.33203125" style="1" customWidth="1"/>
    <col min="5" max="5" width="9.5" style="1" customWidth="1"/>
    <col min="6" max="6" width="11.5" style="1" customWidth="1"/>
    <col min="7" max="7" width="9.83203125" style="1" customWidth="1"/>
    <col min="8" max="8" width="11.08203125" style="1" bestFit="1" customWidth="1"/>
    <col min="9" max="9" width="13.75" style="1" customWidth="1"/>
    <col min="10" max="10" width="11.08203125" style="1" bestFit="1" customWidth="1"/>
    <col min="11" max="11" width="10.83203125" style="1" bestFit="1" customWidth="1"/>
    <col min="12" max="12" width="9.58203125" style="1" customWidth="1"/>
    <col min="13" max="13" width="6.83203125" style="1" bestFit="1" customWidth="1"/>
    <col min="14" max="14" width="11.58203125" style="1" customWidth="1"/>
    <col min="15" max="15" width="12.25" style="1" customWidth="1"/>
    <col min="16" max="20" width="9" style="1"/>
    <col min="21" max="21" width="10.25" style="1" customWidth="1"/>
    <col min="22" max="16384" width="9" style="1"/>
  </cols>
  <sheetData>
    <row r="1" spans="1:11" s="15" customFormat="1" ht="16.5">
      <c r="A1" s="38" t="s">
        <v>73</v>
      </c>
      <c r="B1" s="38"/>
      <c r="C1" s="38"/>
      <c r="D1" s="38"/>
      <c r="E1" s="38"/>
      <c r="F1" s="38"/>
      <c r="G1" s="38"/>
      <c r="H1" s="38"/>
      <c r="I1" s="38"/>
      <c r="J1" s="38"/>
      <c r="K1" s="38"/>
    </row>
    <row r="2" spans="1:11">
      <c r="A2" s="6"/>
      <c r="B2" s="6"/>
      <c r="C2" s="6"/>
      <c r="D2" s="6"/>
      <c r="E2" s="6"/>
      <c r="G2" s="6"/>
      <c r="H2" s="6"/>
      <c r="I2" s="6"/>
      <c r="J2" s="6"/>
    </row>
    <row r="3" spans="1:11" ht="13">
      <c r="A3" s="6"/>
      <c r="B3" s="6"/>
      <c r="C3" s="6"/>
      <c r="D3" s="6"/>
      <c r="E3" s="6"/>
      <c r="F3" s="5"/>
      <c r="G3" s="6"/>
      <c r="H3" s="6"/>
      <c r="I3" s="6"/>
      <c r="J3" s="6"/>
      <c r="K3" s="24" t="s">
        <v>37</v>
      </c>
    </row>
    <row r="4" spans="1:11" ht="15" customHeight="1">
      <c r="A4" s="7"/>
      <c r="B4" s="8" t="s">
        <v>39</v>
      </c>
      <c r="C4" s="9"/>
      <c r="D4" s="7"/>
      <c r="E4" s="7"/>
      <c r="F4" s="7"/>
      <c r="G4" s="7"/>
      <c r="H4" s="10" t="s">
        <v>62</v>
      </c>
      <c r="I4" s="11"/>
      <c r="J4" s="11"/>
      <c r="K4" s="12"/>
    </row>
    <row r="5" spans="1:11" ht="15" customHeight="1">
      <c r="A5" s="2"/>
      <c r="B5" s="13"/>
      <c r="C5" s="13"/>
      <c r="D5" s="13"/>
      <c r="E5" s="2"/>
      <c r="F5" s="13"/>
      <c r="G5" s="2"/>
      <c r="H5" s="2"/>
      <c r="I5" s="13" t="s">
        <v>66</v>
      </c>
      <c r="J5" s="13"/>
      <c r="K5" s="2"/>
    </row>
    <row r="6" spans="1:11" ht="13">
      <c r="A6" s="2" t="s">
        <v>1</v>
      </c>
      <c r="B6" s="13" t="s">
        <v>40</v>
      </c>
      <c r="C6" s="13" t="s">
        <v>4</v>
      </c>
      <c r="D6" s="13" t="s">
        <v>63</v>
      </c>
      <c r="E6" s="13" t="s">
        <v>3</v>
      </c>
      <c r="F6" s="13" t="s">
        <v>64</v>
      </c>
      <c r="G6" s="13" t="s">
        <v>4</v>
      </c>
      <c r="H6" s="13" t="s">
        <v>3</v>
      </c>
      <c r="I6" s="13" t="s">
        <v>42</v>
      </c>
      <c r="J6" s="13"/>
      <c r="K6" s="2"/>
    </row>
    <row r="7" spans="1:11" ht="14.25" customHeight="1">
      <c r="A7" s="3" t="s">
        <v>5</v>
      </c>
      <c r="B7" s="4" t="s">
        <v>41</v>
      </c>
      <c r="C7" s="4" t="s">
        <v>41</v>
      </c>
      <c r="D7" s="4" t="s">
        <v>65</v>
      </c>
      <c r="E7" s="4" t="s">
        <v>7</v>
      </c>
      <c r="F7" s="4" t="s">
        <v>9</v>
      </c>
      <c r="G7" s="4" t="s">
        <v>9</v>
      </c>
      <c r="H7" s="4" t="s">
        <v>8</v>
      </c>
      <c r="I7" s="4" t="s">
        <v>43</v>
      </c>
      <c r="J7" s="4" t="s">
        <v>0</v>
      </c>
      <c r="K7" s="4" t="s">
        <v>31</v>
      </c>
    </row>
    <row r="8" spans="1:11" ht="14.25" customHeight="1">
      <c r="A8" s="17" t="s">
        <v>29</v>
      </c>
    </row>
    <row r="9" spans="1:11">
      <c r="A9" s="23" t="s">
        <v>52</v>
      </c>
      <c r="B9" s="18">
        <v>17021</v>
      </c>
      <c r="C9" s="18">
        <v>4188</v>
      </c>
      <c r="D9" s="18">
        <v>45230</v>
      </c>
      <c r="E9" s="18">
        <v>64529</v>
      </c>
      <c r="F9" s="18">
        <f>6213+240</f>
        <v>6453</v>
      </c>
      <c r="G9" s="18">
        <v>70272</v>
      </c>
      <c r="H9" s="18">
        <v>23269</v>
      </c>
      <c r="I9" s="20">
        <v>0</v>
      </c>
      <c r="J9" s="18">
        <v>21529</v>
      </c>
      <c r="K9" s="18">
        <f>SUM(B9:J9)</f>
        <v>252491</v>
      </c>
    </row>
    <row r="10" spans="1:11">
      <c r="A10" s="23" t="s">
        <v>53</v>
      </c>
      <c r="B10" s="18">
        <v>15802</v>
      </c>
      <c r="C10" s="18">
        <v>5188</v>
      </c>
      <c r="D10" s="18">
        <v>47014</v>
      </c>
      <c r="E10" s="18">
        <v>65435</v>
      </c>
      <c r="F10" s="18">
        <v>6114</v>
      </c>
      <c r="G10" s="18">
        <v>73183</v>
      </c>
      <c r="H10" s="18">
        <v>23269</v>
      </c>
      <c r="I10" s="20">
        <v>0</v>
      </c>
      <c r="J10" s="18">
        <v>21770</v>
      </c>
      <c r="K10" s="18">
        <f t="shared" ref="K10:K20" si="0">SUM(B10:J10)</f>
        <v>257775</v>
      </c>
    </row>
    <row r="11" spans="1:11">
      <c r="A11" s="23" t="s">
        <v>54</v>
      </c>
      <c r="B11" s="18">
        <v>16078</v>
      </c>
      <c r="C11" s="18">
        <v>6315</v>
      </c>
      <c r="D11" s="18">
        <v>43099</v>
      </c>
      <c r="E11" s="18">
        <v>62651</v>
      </c>
      <c r="F11" s="18">
        <f>63+6629</f>
        <v>6692</v>
      </c>
      <c r="G11" s="18">
        <v>81216</v>
      </c>
      <c r="H11" s="18">
        <v>23269</v>
      </c>
      <c r="I11" s="20">
        <v>0</v>
      </c>
      <c r="J11" s="18">
        <v>22239</v>
      </c>
      <c r="K11" s="18">
        <f t="shared" si="0"/>
        <v>261559</v>
      </c>
    </row>
    <row r="12" spans="1:11">
      <c r="A12" s="23" t="s">
        <v>55</v>
      </c>
      <c r="B12" s="18">
        <v>16548</v>
      </c>
      <c r="C12" s="18">
        <v>3459</v>
      </c>
      <c r="D12" s="18">
        <v>40726</v>
      </c>
      <c r="E12" s="18">
        <v>67778</v>
      </c>
      <c r="F12" s="18">
        <f>719+6425</f>
        <v>7144</v>
      </c>
      <c r="G12" s="18">
        <v>90745</v>
      </c>
      <c r="H12" s="18">
        <v>23269</v>
      </c>
      <c r="I12" s="20">
        <v>0</v>
      </c>
      <c r="J12" s="18">
        <v>24021</v>
      </c>
      <c r="K12" s="18">
        <f t="shared" si="0"/>
        <v>273690</v>
      </c>
    </row>
    <row r="13" spans="1:11">
      <c r="A13" s="23" t="s">
        <v>56</v>
      </c>
      <c r="B13" s="18">
        <v>17488</v>
      </c>
      <c r="C13" s="18">
        <v>3938</v>
      </c>
      <c r="D13" s="18">
        <v>37792</v>
      </c>
      <c r="E13" s="18">
        <v>67759</v>
      </c>
      <c r="F13" s="18">
        <f>255+6594</f>
        <v>6849</v>
      </c>
      <c r="G13" s="18">
        <v>105734</v>
      </c>
      <c r="H13" s="18">
        <v>23269</v>
      </c>
      <c r="I13" s="20">
        <v>0</v>
      </c>
      <c r="J13" s="18">
        <v>24783</v>
      </c>
      <c r="K13" s="18">
        <f t="shared" si="0"/>
        <v>287612</v>
      </c>
    </row>
    <row r="14" spans="1:11">
      <c r="A14" s="23" t="s">
        <v>57</v>
      </c>
      <c r="B14" s="18">
        <v>17394</v>
      </c>
      <c r="C14" s="18">
        <v>4112</v>
      </c>
      <c r="D14" s="18">
        <v>33323</v>
      </c>
      <c r="E14" s="18">
        <v>66590</v>
      </c>
      <c r="F14" s="18">
        <f>68+7383</f>
        <v>7451</v>
      </c>
      <c r="G14" s="18">
        <v>108882</v>
      </c>
      <c r="H14" s="18">
        <v>23269</v>
      </c>
      <c r="I14" s="20">
        <v>0</v>
      </c>
      <c r="J14" s="18">
        <v>25662</v>
      </c>
      <c r="K14" s="18">
        <f t="shared" si="0"/>
        <v>286683</v>
      </c>
    </row>
    <row r="15" spans="1:11">
      <c r="A15" s="23" t="s">
        <v>58</v>
      </c>
      <c r="B15" s="18">
        <v>17063</v>
      </c>
      <c r="C15" s="18">
        <v>3635</v>
      </c>
      <c r="D15" s="18">
        <v>35534</v>
      </c>
      <c r="E15" s="18">
        <v>67656</v>
      </c>
      <c r="F15" s="18">
        <f>386+8360</f>
        <v>8746</v>
      </c>
      <c r="G15" s="18">
        <v>123735</v>
      </c>
      <c r="H15" s="18">
        <v>23269</v>
      </c>
      <c r="I15" s="20">
        <v>0</v>
      </c>
      <c r="J15" s="18">
        <v>25802</v>
      </c>
      <c r="K15" s="18">
        <f t="shared" si="0"/>
        <v>305440</v>
      </c>
    </row>
    <row r="16" spans="1:11">
      <c r="A16" s="23" t="s">
        <v>59</v>
      </c>
      <c r="B16" s="18">
        <v>16220</v>
      </c>
      <c r="C16" s="18">
        <v>3765</v>
      </c>
      <c r="D16" s="18">
        <v>40988</v>
      </c>
      <c r="E16" s="18">
        <v>65749</v>
      </c>
      <c r="F16" s="18">
        <f>373+6236</f>
        <v>6609</v>
      </c>
      <c r="G16" s="18">
        <v>126122</v>
      </c>
      <c r="H16" s="18">
        <v>23269</v>
      </c>
      <c r="I16" s="20">
        <v>0</v>
      </c>
      <c r="J16" s="18">
        <v>26544</v>
      </c>
      <c r="K16" s="18">
        <f t="shared" si="0"/>
        <v>309266</v>
      </c>
    </row>
    <row r="17" spans="1:11">
      <c r="A17" s="23" t="s">
        <v>67</v>
      </c>
      <c r="B17" s="18">
        <v>16800</v>
      </c>
      <c r="C17" s="18">
        <v>4586</v>
      </c>
      <c r="D17" s="18">
        <v>46060</v>
      </c>
      <c r="E17" s="18">
        <v>63138</v>
      </c>
      <c r="F17" s="18">
        <f>345+6848</f>
        <v>7193</v>
      </c>
      <c r="G17" s="18">
        <v>113773</v>
      </c>
      <c r="H17" s="18">
        <v>23269</v>
      </c>
      <c r="I17" s="20">
        <v>0</v>
      </c>
      <c r="J17" s="18">
        <v>30585</v>
      </c>
      <c r="K17" s="18">
        <f t="shared" si="0"/>
        <v>305404</v>
      </c>
    </row>
    <row r="18" spans="1:11">
      <c r="A18" s="23" t="s">
        <v>60</v>
      </c>
      <c r="B18" s="18">
        <v>16329</v>
      </c>
      <c r="C18" s="18">
        <v>3963</v>
      </c>
      <c r="D18" s="18">
        <v>41894</v>
      </c>
      <c r="E18" s="18">
        <v>66534</v>
      </c>
      <c r="F18" s="18">
        <f>572+7194</f>
        <v>7766</v>
      </c>
      <c r="G18" s="18">
        <v>115792</v>
      </c>
      <c r="H18" s="18">
        <v>23269</v>
      </c>
      <c r="I18" s="20">
        <v>0</v>
      </c>
      <c r="J18" s="18">
        <v>31213</v>
      </c>
      <c r="K18" s="18">
        <f t="shared" si="0"/>
        <v>306760</v>
      </c>
    </row>
    <row r="19" spans="1:11">
      <c r="A19" s="23" t="s">
        <v>61</v>
      </c>
      <c r="B19" s="18">
        <v>16767</v>
      </c>
      <c r="C19" s="18">
        <v>3754</v>
      </c>
      <c r="D19" s="18">
        <v>57634</v>
      </c>
      <c r="E19" s="18">
        <v>66736</v>
      </c>
      <c r="F19" s="18">
        <f>867+7824</f>
        <v>8691</v>
      </c>
      <c r="G19" s="18">
        <v>116773</v>
      </c>
      <c r="H19" s="18">
        <v>23269</v>
      </c>
      <c r="I19" s="20">
        <v>0</v>
      </c>
      <c r="J19" s="18">
        <v>33386</v>
      </c>
      <c r="K19" s="18">
        <f t="shared" si="0"/>
        <v>327010</v>
      </c>
    </row>
    <row r="20" spans="1:11">
      <c r="A20" s="23" t="s">
        <v>51</v>
      </c>
      <c r="B20" s="18">
        <v>18226</v>
      </c>
      <c r="C20" s="18">
        <v>3873</v>
      </c>
      <c r="D20" s="18">
        <v>70970</v>
      </c>
      <c r="E20" s="18">
        <v>65112</v>
      </c>
      <c r="F20" s="18">
        <f>495+8444</f>
        <v>8939</v>
      </c>
      <c r="G20" s="18">
        <f>121359+1000</f>
        <v>122359</v>
      </c>
      <c r="H20" s="18">
        <v>23269</v>
      </c>
      <c r="I20" s="20">
        <v>0</v>
      </c>
      <c r="J20" s="18">
        <v>35665</v>
      </c>
      <c r="K20" s="18">
        <f t="shared" si="0"/>
        <v>348413</v>
      </c>
    </row>
    <row r="21" spans="1:11" ht="13">
      <c r="A21" s="17" t="s">
        <v>32</v>
      </c>
      <c r="B21" s="18"/>
      <c r="C21" s="18"/>
      <c r="D21" s="18"/>
      <c r="E21" s="18"/>
      <c r="F21" s="18"/>
      <c r="G21" s="18"/>
      <c r="H21" s="18"/>
      <c r="I21" s="20"/>
      <c r="J21" s="18"/>
      <c r="K21" s="18"/>
    </row>
    <row r="22" spans="1:11">
      <c r="A22" s="23" t="s">
        <v>52</v>
      </c>
      <c r="B22" s="18">
        <v>18225</v>
      </c>
      <c r="C22" s="18">
        <v>3760</v>
      </c>
      <c r="D22" s="18">
        <v>76986</v>
      </c>
      <c r="E22" s="18">
        <v>67892</v>
      </c>
      <c r="F22" s="18">
        <v>8107</v>
      </c>
      <c r="G22" s="18">
        <v>129928</v>
      </c>
      <c r="H22" s="18">
        <v>23269</v>
      </c>
      <c r="I22" s="20">
        <v>0</v>
      </c>
      <c r="J22" s="18">
        <v>35465</v>
      </c>
      <c r="K22" s="18">
        <v>363632</v>
      </c>
    </row>
    <row r="23" spans="1:11">
      <c r="A23" s="23" t="s">
        <v>53</v>
      </c>
      <c r="B23" s="18">
        <v>17251</v>
      </c>
      <c r="C23" s="18">
        <v>3971</v>
      </c>
      <c r="D23" s="18">
        <v>82525</v>
      </c>
      <c r="E23" s="18">
        <v>68088</v>
      </c>
      <c r="F23" s="18">
        <v>7298</v>
      </c>
      <c r="G23" s="18">
        <v>132787</v>
      </c>
      <c r="H23" s="18">
        <v>23269</v>
      </c>
      <c r="I23" s="20">
        <v>0</v>
      </c>
      <c r="J23" s="18">
        <v>34472</v>
      </c>
      <c r="K23" s="18">
        <v>369661</v>
      </c>
    </row>
    <row r="24" spans="1:11">
      <c r="A24" s="23" t="s">
        <v>54</v>
      </c>
      <c r="B24" s="18">
        <v>17916</v>
      </c>
      <c r="C24" s="18">
        <v>4174</v>
      </c>
      <c r="D24" s="18">
        <v>113501</v>
      </c>
      <c r="E24" s="18">
        <v>68104</v>
      </c>
      <c r="F24" s="18">
        <v>8050</v>
      </c>
      <c r="G24" s="18">
        <v>137113</v>
      </c>
      <c r="H24" s="18">
        <v>23269</v>
      </c>
      <c r="I24" s="20">
        <v>0</v>
      </c>
      <c r="J24" s="18">
        <v>34602</v>
      </c>
      <c r="K24" s="18">
        <v>406729</v>
      </c>
    </row>
    <row r="25" spans="1:11">
      <c r="A25" s="23" t="s">
        <v>55</v>
      </c>
      <c r="B25" s="18">
        <v>17946</v>
      </c>
      <c r="C25" s="18">
        <v>4742</v>
      </c>
      <c r="D25" s="18">
        <v>118767</v>
      </c>
      <c r="E25" s="18">
        <v>68015</v>
      </c>
      <c r="F25" s="18">
        <v>8368</v>
      </c>
      <c r="G25" s="18">
        <v>146838</v>
      </c>
      <c r="H25" s="18">
        <v>23269</v>
      </c>
      <c r="I25" s="20">
        <v>0</v>
      </c>
      <c r="J25" s="18">
        <v>35977</v>
      </c>
      <c r="K25" s="18">
        <v>423922</v>
      </c>
    </row>
    <row r="26" spans="1:11">
      <c r="A26" s="23" t="s">
        <v>56</v>
      </c>
      <c r="B26" s="18">
        <v>17813</v>
      </c>
      <c r="C26" s="18">
        <v>5144</v>
      </c>
      <c r="D26" s="18">
        <v>113569</v>
      </c>
      <c r="E26" s="18">
        <v>67516</v>
      </c>
      <c r="F26" s="18">
        <v>8453</v>
      </c>
      <c r="G26" s="18">
        <v>142966</v>
      </c>
      <c r="H26" s="18">
        <v>23269</v>
      </c>
      <c r="I26" s="20">
        <v>0</v>
      </c>
      <c r="J26" s="18">
        <v>36937</v>
      </c>
      <c r="K26" s="18">
        <v>415667</v>
      </c>
    </row>
    <row r="27" spans="1:11">
      <c r="A27" s="23" t="s">
        <v>57</v>
      </c>
      <c r="B27" s="18">
        <v>17823</v>
      </c>
      <c r="C27" s="18">
        <v>4752</v>
      </c>
      <c r="D27" s="18">
        <v>110303</v>
      </c>
      <c r="E27" s="18">
        <v>65292</v>
      </c>
      <c r="F27" s="18">
        <v>6892</v>
      </c>
      <c r="G27" s="18">
        <v>129122</v>
      </c>
      <c r="H27" s="18">
        <v>23269</v>
      </c>
      <c r="I27" s="20">
        <v>0</v>
      </c>
      <c r="J27" s="18">
        <v>37997</v>
      </c>
      <c r="K27" s="18">
        <v>395450</v>
      </c>
    </row>
    <row r="28" spans="1:11">
      <c r="A28" s="23" t="s">
        <v>58</v>
      </c>
      <c r="B28" s="18">
        <v>17572</v>
      </c>
      <c r="C28" s="18">
        <v>3621</v>
      </c>
      <c r="D28" s="18">
        <v>102916</v>
      </c>
      <c r="E28" s="18">
        <v>64748</v>
      </c>
      <c r="F28" s="18">
        <v>7774</v>
      </c>
      <c r="G28" s="18">
        <v>130007</v>
      </c>
      <c r="H28" s="18">
        <v>23269</v>
      </c>
      <c r="I28" s="20">
        <v>0</v>
      </c>
      <c r="J28" s="18">
        <v>38661</v>
      </c>
      <c r="K28" s="18">
        <v>388568</v>
      </c>
    </row>
    <row r="29" spans="1:11">
      <c r="A29" s="23" t="s">
        <v>59</v>
      </c>
      <c r="B29" s="18">
        <v>17703</v>
      </c>
      <c r="C29" s="18">
        <v>4236</v>
      </c>
      <c r="D29" s="18">
        <v>102752</v>
      </c>
      <c r="E29" s="18">
        <v>64734</v>
      </c>
      <c r="F29" s="18">
        <v>5880</v>
      </c>
      <c r="G29" s="18">
        <v>132505</v>
      </c>
      <c r="H29" s="18">
        <v>23269</v>
      </c>
      <c r="I29" s="20">
        <v>0</v>
      </c>
      <c r="J29" s="18">
        <v>40116</v>
      </c>
      <c r="K29" s="18">
        <v>391195</v>
      </c>
    </row>
    <row r="30" spans="1:11">
      <c r="A30" s="23" t="s">
        <v>67</v>
      </c>
      <c r="B30" s="18">
        <v>18277</v>
      </c>
      <c r="C30" s="18">
        <v>6087</v>
      </c>
      <c r="D30" s="18">
        <v>89810</v>
      </c>
      <c r="E30" s="18">
        <v>64166</v>
      </c>
      <c r="F30" s="18">
        <v>7931</v>
      </c>
      <c r="G30" s="18">
        <v>114544</v>
      </c>
      <c r="H30" s="18">
        <v>23269</v>
      </c>
      <c r="I30" s="20">
        <v>0</v>
      </c>
      <c r="J30" s="18">
        <v>40525</v>
      </c>
      <c r="K30" s="18">
        <v>364609</v>
      </c>
    </row>
    <row r="31" spans="1:11">
      <c r="A31" s="23" t="s">
        <v>60</v>
      </c>
      <c r="B31" s="18">
        <v>17660</v>
      </c>
      <c r="C31" s="18">
        <v>5509</v>
      </c>
      <c r="D31" s="18">
        <v>81598</v>
      </c>
      <c r="E31" s="18">
        <v>64305</v>
      </c>
      <c r="F31" s="18">
        <v>9017</v>
      </c>
      <c r="G31" s="18">
        <v>104663</v>
      </c>
      <c r="H31" s="18">
        <v>23269</v>
      </c>
      <c r="I31" s="20">
        <v>0</v>
      </c>
      <c r="J31" s="18">
        <v>44717</v>
      </c>
      <c r="K31" s="18">
        <v>350738</v>
      </c>
    </row>
    <row r="32" spans="1:11">
      <c r="A32" s="23" t="s">
        <v>61</v>
      </c>
      <c r="B32" s="18">
        <v>18043</v>
      </c>
      <c r="C32" s="18">
        <v>4284</v>
      </c>
      <c r="D32" s="18">
        <v>83289</v>
      </c>
      <c r="E32" s="18">
        <v>64550</v>
      </c>
      <c r="F32" s="18">
        <v>8620</v>
      </c>
      <c r="G32" s="18">
        <v>95086</v>
      </c>
      <c r="H32" s="18">
        <v>23269</v>
      </c>
      <c r="I32" s="20">
        <v>0</v>
      </c>
      <c r="J32" s="18">
        <v>44561</v>
      </c>
      <c r="K32" s="18">
        <v>341702</v>
      </c>
    </row>
    <row r="33" spans="1:11">
      <c r="A33" s="23" t="s">
        <v>51</v>
      </c>
      <c r="B33" s="18">
        <v>18718</v>
      </c>
      <c r="C33" s="18">
        <v>4137</v>
      </c>
      <c r="D33" s="18">
        <v>87174</v>
      </c>
      <c r="E33" s="18">
        <v>64578</v>
      </c>
      <c r="F33" s="18">
        <v>9897</v>
      </c>
      <c r="G33" s="18">
        <v>101202</v>
      </c>
      <c r="H33" s="18">
        <v>23269</v>
      </c>
      <c r="I33" s="20">
        <v>0</v>
      </c>
      <c r="J33" s="18">
        <v>45195</v>
      </c>
      <c r="K33" s="18">
        <v>354170</v>
      </c>
    </row>
    <row r="34" spans="1:11" ht="13">
      <c r="A34" s="19" t="s">
        <v>38</v>
      </c>
      <c r="B34" s="18"/>
      <c r="C34" s="18"/>
      <c r="D34" s="18"/>
      <c r="E34" s="18"/>
      <c r="F34" s="18"/>
      <c r="G34" s="18"/>
      <c r="H34" s="18"/>
      <c r="I34" s="20"/>
      <c r="J34" s="18"/>
      <c r="K34" s="18"/>
    </row>
    <row r="35" spans="1:11">
      <c r="A35" s="23" t="s">
        <v>52</v>
      </c>
      <c r="B35" s="18">
        <v>19713</v>
      </c>
      <c r="C35" s="18">
        <v>4877</v>
      </c>
      <c r="D35" s="18">
        <v>92097</v>
      </c>
      <c r="E35" s="18">
        <v>64646</v>
      </c>
      <c r="F35" s="18">
        <v>7096</v>
      </c>
      <c r="G35" s="18">
        <v>113676</v>
      </c>
      <c r="H35" s="18">
        <v>23269</v>
      </c>
      <c r="I35" s="20">
        <v>0</v>
      </c>
      <c r="J35" s="18">
        <v>45024</v>
      </c>
      <c r="K35" s="18">
        <v>370398</v>
      </c>
    </row>
    <row r="36" spans="1:11">
      <c r="A36" s="23" t="s">
        <v>53</v>
      </c>
      <c r="B36" s="18">
        <v>18642</v>
      </c>
      <c r="C36" s="18">
        <v>4245</v>
      </c>
      <c r="D36" s="18">
        <v>89264</v>
      </c>
      <c r="E36" s="18">
        <v>64680</v>
      </c>
      <c r="F36" s="18">
        <v>6011</v>
      </c>
      <c r="G36" s="18">
        <v>120745</v>
      </c>
      <c r="H36" s="18">
        <v>23269</v>
      </c>
      <c r="I36" s="20">
        <v>41567</v>
      </c>
      <c r="J36" s="18">
        <v>3286</v>
      </c>
      <c r="K36" s="18">
        <v>371709</v>
      </c>
    </row>
    <row r="37" spans="1:11">
      <c r="A37" s="23" t="s">
        <v>54</v>
      </c>
      <c r="B37" s="18">
        <v>19059</v>
      </c>
      <c r="C37" s="18">
        <v>5679</v>
      </c>
      <c r="D37" s="18">
        <v>88770</v>
      </c>
      <c r="E37" s="18">
        <v>64705</v>
      </c>
      <c r="F37" s="18">
        <v>9081</v>
      </c>
      <c r="G37" s="18">
        <v>128896</v>
      </c>
      <c r="H37" s="18">
        <v>23269</v>
      </c>
      <c r="I37" s="20">
        <v>44682</v>
      </c>
      <c r="J37" s="18">
        <v>3185</v>
      </c>
      <c r="K37" s="18">
        <v>387324</v>
      </c>
    </row>
    <row r="38" spans="1:11">
      <c r="A38" s="23" t="s">
        <v>55</v>
      </c>
      <c r="B38" s="18">
        <v>19935</v>
      </c>
      <c r="C38" s="18">
        <v>5769</v>
      </c>
      <c r="D38" s="18">
        <v>97205</v>
      </c>
      <c r="E38" s="18">
        <v>64722</v>
      </c>
      <c r="F38" s="18">
        <v>8020</v>
      </c>
      <c r="G38" s="18">
        <v>139777</v>
      </c>
      <c r="H38" s="18">
        <v>23269</v>
      </c>
      <c r="I38" s="20">
        <v>46436</v>
      </c>
      <c r="J38" s="18">
        <v>2527</v>
      </c>
      <c r="K38" s="18">
        <v>407661</v>
      </c>
    </row>
    <row r="39" spans="1:11">
      <c r="A39" s="23" t="s">
        <v>56</v>
      </c>
      <c r="B39" s="18">
        <v>19010</v>
      </c>
      <c r="C39" s="18">
        <v>5151</v>
      </c>
      <c r="D39" s="18">
        <v>94437</v>
      </c>
      <c r="E39" s="18">
        <v>64735</v>
      </c>
      <c r="F39" s="18">
        <v>8153</v>
      </c>
      <c r="G39" s="18">
        <v>126878</v>
      </c>
      <c r="H39" s="18">
        <v>23269</v>
      </c>
      <c r="I39" s="20">
        <v>47124</v>
      </c>
      <c r="J39" s="18">
        <v>5599</v>
      </c>
      <c r="K39" s="18">
        <v>394355</v>
      </c>
    </row>
    <row r="40" spans="1:11">
      <c r="A40" s="23" t="s">
        <v>57</v>
      </c>
      <c r="B40" s="18">
        <v>18674</v>
      </c>
      <c r="C40" s="18">
        <v>4833</v>
      </c>
      <c r="D40" s="18">
        <v>84154</v>
      </c>
      <c r="E40" s="18">
        <v>64747</v>
      </c>
      <c r="F40" s="18">
        <v>7827</v>
      </c>
      <c r="G40" s="18">
        <v>122514</v>
      </c>
      <c r="H40" s="18">
        <v>23269</v>
      </c>
      <c r="I40" s="20">
        <v>42407</v>
      </c>
      <c r="J40" s="18">
        <v>9152</v>
      </c>
      <c r="K40" s="18">
        <v>377575</v>
      </c>
    </row>
    <row r="41" spans="1:11">
      <c r="A41" s="23" t="s">
        <v>58</v>
      </c>
      <c r="B41" s="18">
        <v>18987</v>
      </c>
      <c r="C41" s="18">
        <v>5452</v>
      </c>
      <c r="D41" s="18">
        <v>80817</v>
      </c>
      <c r="E41" s="18">
        <v>64752</v>
      </c>
      <c r="F41" s="18">
        <v>8520</v>
      </c>
      <c r="G41" s="18">
        <v>134498</v>
      </c>
      <c r="H41" s="18">
        <v>23269</v>
      </c>
      <c r="I41" s="20">
        <v>41721</v>
      </c>
      <c r="J41" s="18">
        <v>9139</v>
      </c>
      <c r="K41" s="18">
        <v>387156</v>
      </c>
    </row>
    <row r="42" spans="1:11">
      <c r="A42" s="23" t="s">
        <v>59</v>
      </c>
      <c r="B42" s="18">
        <v>18507</v>
      </c>
      <c r="C42" s="18">
        <v>5782</v>
      </c>
      <c r="D42" s="18">
        <v>81828</v>
      </c>
      <c r="E42" s="18">
        <v>64788</v>
      </c>
      <c r="F42" s="18">
        <v>6536</v>
      </c>
      <c r="G42" s="18">
        <v>126271</v>
      </c>
      <c r="H42" s="18">
        <v>23269</v>
      </c>
      <c r="I42" s="20">
        <v>42332</v>
      </c>
      <c r="J42" s="18">
        <v>9218</v>
      </c>
      <c r="K42" s="18">
        <v>378530</v>
      </c>
    </row>
    <row r="43" spans="1:11">
      <c r="A43" s="23" t="s">
        <v>67</v>
      </c>
      <c r="B43" s="18">
        <v>20018</v>
      </c>
      <c r="C43" s="18">
        <v>5956</v>
      </c>
      <c r="D43" s="18">
        <v>76310</v>
      </c>
      <c r="E43" s="18">
        <v>64830</v>
      </c>
      <c r="F43" s="18">
        <v>7986</v>
      </c>
      <c r="G43" s="18">
        <v>111652</v>
      </c>
      <c r="H43" s="18">
        <v>23269</v>
      </c>
      <c r="I43" s="20">
        <v>42639</v>
      </c>
      <c r="J43" s="18">
        <v>9866</v>
      </c>
      <c r="K43" s="18">
        <v>362527</v>
      </c>
    </row>
    <row r="44" spans="1:11">
      <c r="A44" s="23" t="s">
        <v>60</v>
      </c>
      <c r="B44" s="18">
        <v>19512</v>
      </c>
      <c r="C44" s="18">
        <v>4933</v>
      </c>
      <c r="D44" s="18">
        <v>68714</v>
      </c>
      <c r="E44" s="18">
        <v>46050</v>
      </c>
      <c r="F44" s="18">
        <v>8701</v>
      </c>
      <c r="G44" s="18">
        <v>104793</v>
      </c>
      <c r="H44" s="18">
        <v>23269</v>
      </c>
      <c r="I44" s="20">
        <v>41463</v>
      </c>
      <c r="J44" s="18">
        <v>9141</v>
      </c>
      <c r="K44" s="18">
        <v>326577</v>
      </c>
    </row>
    <row r="45" spans="1:11">
      <c r="A45" s="23" t="s">
        <v>61</v>
      </c>
      <c r="B45" s="18">
        <v>18776</v>
      </c>
      <c r="C45" s="18">
        <v>5461</v>
      </c>
      <c r="D45" s="18">
        <v>73951</v>
      </c>
      <c r="E45" s="18">
        <v>35035</v>
      </c>
      <c r="F45" s="18">
        <v>8169</v>
      </c>
      <c r="G45" s="18">
        <v>90521</v>
      </c>
      <c r="H45" s="18">
        <v>23269</v>
      </c>
      <c r="I45" s="20">
        <v>39848</v>
      </c>
      <c r="J45" s="18">
        <v>9201</v>
      </c>
      <c r="K45" s="18">
        <v>304230</v>
      </c>
    </row>
    <row r="46" spans="1:11">
      <c r="A46" s="23" t="s">
        <v>51</v>
      </c>
      <c r="B46" s="18">
        <v>20983</v>
      </c>
      <c r="C46" s="18">
        <v>6403</v>
      </c>
      <c r="D46" s="18">
        <v>64831</v>
      </c>
      <c r="E46" s="18">
        <v>33089</v>
      </c>
      <c r="F46" s="18">
        <v>10483</v>
      </c>
      <c r="G46" s="18">
        <v>95065</v>
      </c>
      <c r="H46" s="18">
        <v>23269</v>
      </c>
      <c r="I46" s="20">
        <v>40310</v>
      </c>
      <c r="J46" s="18">
        <v>9723</v>
      </c>
      <c r="K46" s="18">
        <v>304155</v>
      </c>
    </row>
    <row r="47" spans="1:11" ht="15" customHeight="1">
      <c r="A47" s="19" t="s">
        <v>44</v>
      </c>
      <c r="B47" s="18"/>
      <c r="C47" s="18"/>
      <c r="D47" s="18"/>
      <c r="E47" s="18"/>
      <c r="F47" s="18"/>
      <c r="G47" s="18"/>
      <c r="H47" s="18"/>
      <c r="I47" s="20"/>
      <c r="J47" s="18"/>
      <c r="K47" s="18"/>
    </row>
    <row r="48" spans="1:11">
      <c r="A48" s="23" t="s">
        <v>52</v>
      </c>
      <c r="B48" s="18">
        <v>21977</v>
      </c>
      <c r="C48" s="18">
        <v>6539</v>
      </c>
      <c r="D48" s="18">
        <v>67878</v>
      </c>
      <c r="E48" s="18">
        <v>46806</v>
      </c>
      <c r="F48" s="18">
        <v>9102</v>
      </c>
      <c r="G48" s="18">
        <v>106495</v>
      </c>
      <c r="H48" s="18">
        <v>23269</v>
      </c>
      <c r="I48" s="20">
        <v>41211</v>
      </c>
      <c r="J48" s="18">
        <v>13059</v>
      </c>
      <c r="K48" s="18">
        <v>336335</v>
      </c>
    </row>
    <row r="49" spans="1:11">
      <c r="A49" s="23" t="s">
        <v>53</v>
      </c>
      <c r="B49" s="18">
        <v>20426</v>
      </c>
      <c r="C49" s="18">
        <v>6317</v>
      </c>
      <c r="D49" s="18">
        <v>77307</v>
      </c>
      <c r="E49" s="18">
        <v>46667</v>
      </c>
      <c r="F49" s="18">
        <v>9464</v>
      </c>
      <c r="G49" s="18">
        <v>110067</v>
      </c>
      <c r="H49" s="18">
        <v>23269</v>
      </c>
      <c r="I49" s="20">
        <v>42002</v>
      </c>
      <c r="J49" s="18">
        <v>13019</v>
      </c>
      <c r="K49" s="18">
        <v>348537</v>
      </c>
    </row>
    <row r="50" spans="1:11">
      <c r="A50" s="23" t="s">
        <v>54</v>
      </c>
      <c r="B50" s="18">
        <v>22643</v>
      </c>
      <c r="C50" s="18">
        <v>6754</v>
      </c>
      <c r="D50" s="18">
        <v>72789</v>
      </c>
      <c r="E50" s="18">
        <v>46687</v>
      </c>
      <c r="F50" s="18">
        <v>12149</v>
      </c>
      <c r="G50" s="18">
        <v>119961</v>
      </c>
      <c r="H50" s="18">
        <v>23269</v>
      </c>
      <c r="I50" s="20">
        <v>42672</v>
      </c>
      <c r="J50" s="18">
        <v>11912</v>
      </c>
      <c r="K50" s="18">
        <v>358835</v>
      </c>
    </row>
    <row r="51" spans="1:11">
      <c r="A51" s="23" t="s">
        <v>55</v>
      </c>
      <c r="B51" s="18">
        <v>22379</v>
      </c>
      <c r="C51" s="18">
        <v>5427</v>
      </c>
      <c r="D51" s="18">
        <v>71675</v>
      </c>
      <c r="E51" s="18">
        <v>46628</v>
      </c>
      <c r="F51" s="18">
        <v>11667</v>
      </c>
      <c r="G51" s="18">
        <v>116949</v>
      </c>
      <c r="H51" s="18">
        <v>23269</v>
      </c>
      <c r="I51" s="20">
        <v>43818</v>
      </c>
      <c r="J51" s="18">
        <v>12198</v>
      </c>
      <c r="K51" s="18">
        <v>354009</v>
      </c>
    </row>
    <row r="52" spans="1:11">
      <c r="A52" s="23" t="s">
        <v>56</v>
      </c>
      <c r="B52" s="18">
        <v>22227</v>
      </c>
      <c r="C52" s="18">
        <v>5684</v>
      </c>
      <c r="D52" s="18">
        <v>63924</v>
      </c>
      <c r="E52" s="18">
        <v>49687</v>
      </c>
      <c r="F52" s="18">
        <v>10874</v>
      </c>
      <c r="G52" s="18">
        <v>101866</v>
      </c>
      <c r="H52" s="18">
        <v>23269</v>
      </c>
      <c r="I52" s="20">
        <v>44618</v>
      </c>
      <c r="J52" s="18">
        <v>16021</v>
      </c>
      <c r="K52" s="18">
        <v>338169</v>
      </c>
    </row>
    <row r="53" spans="1:11">
      <c r="A53" s="23" t="s">
        <v>57</v>
      </c>
      <c r="B53" s="18">
        <v>22812</v>
      </c>
      <c r="C53" s="18">
        <v>5496</v>
      </c>
      <c r="D53" s="18">
        <v>68457</v>
      </c>
      <c r="E53" s="18">
        <v>43960</v>
      </c>
      <c r="F53" s="18">
        <v>11756</v>
      </c>
      <c r="G53" s="18">
        <v>90645</v>
      </c>
      <c r="H53" s="18">
        <v>23269</v>
      </c>
      <c r="I53" s="20">
        <v>45251</v>
      </c>
      <c r="J53" s="18">
        <v>16063</v>
      </c>
      <c r="K53" s="18">
        <v>327708</v>
      </c>
    </row>
    <row r="54" spans="1:11">
      <c r="A54" s="23" t="s">
        <v>58</v>
      </c>
      <c r="B54" s="18">
        <v>23053</v>
      </c>
      <c r="C54" s="18">
        <v>5478</v>
      </c>
      <c r="D54" s="18">
        <v>71637</v>
      </c>
      <c r="E54" s="18">
        <v>35389</v>
      </c>
      <c r="F54" s="18">
        <v>11917</v>
      </c>
      <c r="G54" s="18">
        <v>94909</v>
      </c>
      <c r="H54" s="18">
        <v>23269</v>
      </c>
      <c r="I54" s="20">
        <v>45545</v>
      </c>
      <c r="J54" s="18">
        <v>15861</v>
      </c>
      <c r="K54" s="18">
        <v>327059</v>
      </c>
    </row>
    <row r="55" spans="1:11">
      <c r="A55" s="23" t="s">
        <v>59</v>
      </c>
      <c r="B55" s="18">
        <v>22368</v>
      </c>
      <c r="C55" s="18">
        <v>6108</v>
      </c>
      <c r="D55" s="18">
        <v>68579</v>
      </c>
      <c r="E55" s="18">
        <v>26922</v>
      </c>
      <c r="F55" s="18">
        <v>10765</v>
      </c>
      <c r="G55" s="18">
        <v>97542</v>
      </c>
      <c r="H55" s="18">
        <v>23269</v>
      </c>
      <c r="I55" s="20">
        <v>45968</v>
      </c>
      <c r="J55" s="18">
        <v>16089</v>
      </c>
      <c r="K55" s="18">
        <v>317608</v>
      </c>
    </row>
    <row r="56" spans="1:11">
      <c r="A56" s="23" t="s">
        <v>67</v>
      </c>
      <c r="B56" s="18">
        <v>22703</v>
      </c>
      <c r="C56" s="18">
        <v>5326</v>
      </c>
      <c r="D56" s="18">
        <v>66792</v>
      </c>
      <c r="E56" s="18">
        <v>25711</v>
      </c>
      <c r="F56" s="18">
        <v>12562</v>
      </c>
      <c r="G56" s="18">
        <v>94349</v>
      </c>
      <c r="H56" s="18">
        <v>23269</v>
      </c>
      <c r="I56" s="20">
        <v>46983</v>
      </c>
      <c r="J56" s="18">
        <v>15967</v>
      </c>
      <c r="K56" s="18">
        <v>313661</v>
      </c>
    </row>
    <row r="57" spans="1:11">
      <c r="A57" s="23" t="s">
        <v>60</v>
      </c>
      <c r="B57" s="18">
        <v>21246</v>
      </c>
      <c r="C57" s="18">
        <v>5183</v>
      </c>
      <c r="D57" s="18">
        <v>62533</v>
      </c>
      <c r="E57" s="18">
        <v>24552</v>
      </c>
      <c r="F57" s="18">
        <v>11746</v>
      </c>
      <c r="G57" s="18">
        <v>64443</v>
      </c>
      <c r="H57" s="18">
        <v>23269</v>
      </c>
      <c r="I57" s="20">
        <v>48012</v>
      </c>
      <c r="J57" s="18">
        <v>15851</v>
      </c>
      <c r="K57" s="18">
        <v>276835</v>
      </c>
    </row>
    <row r="58" spans="1:11">
      <c r="A58" s="23" t="s">
        <v>61</v>
      </c>
      <c r="B58" s="18">
        <v>21949</v>
      </c>
      <c r="C58" s="18">
        <v>5633</v>
      </c>
      <c r="D58" s="18">
        <v>70616</v>
      </c>
      <c r="E58" s="18">
        <v>28153</v>
      </c>
      <c r="F58" s="18">
        <v>11149</v>
      </c>
      <c r="G58" s="18">
        <v>68871</v>
      </c>
      <c r="H58" s="18">
        <v>23269</v>
      </c>
      <c r="I58" s="20">
        <v>48807</v>
      </c>
      <c r="J58" s="18">
        <v>13723</v>
      </c>
      <c r="K58" s="18">
        <v>292168</v>
      </c>
    </row>
    <row r="59" spans="1:11">
      <c r="A59" s="23" t="s">
        <v>51</v>
      </c>
      <c r="B59" s="18">
        <v>23036</v>
      </c>
      <c r="C59" s="18">
        <v>6778</v>
      </c>
      <c r="D59" s="18">
        <v>79629</v>
      </c>
      <c r="E59" s="18">
        <v>19780</v>
      </c>
      <c r="F59" s="18">
        <v>10751</v>
      </c>
      <c r="G59" s="18">
        <v>74002</v>
      </c>
      <c r="H59" s="18">
        <v>23269</v>
      </c>
      <c r="I59" s="20">
        <v>49470</v>
      </c>
      <c r="J59" s="18">
        <v>16642</v>
      </c>
      <c r="K59" s="18">
        <v>303357</v>
      </c>
    </row>
    <row r="60" spans="1:11" ht="13">
      <c r="A60" s="19" t="s">
        <v>45</v>
      </c>
      <c r="B60" s="18"/>
      <c r="C60" s="18"/>
      <c r="D60" s="18"/>
      <c r="E60" s="18"/>
      <c r="F60" s="18"/>
      <c r="G60" s="18"/>
      <c r="H60" s="18"/>
      <c r="I60" s="20"/>
      <c r="J60" s="18"/>
      <c r="K60" s="18"/>
    </row>
    <row r="61" spans="1:11">
      <c r="A61" s="23" t="s">
        <v>52</v>
      </c>
      <c r="B61" s="18">
        <v>22936</v>
      </c>
      <c r="C61" s="14">
        <v>6930</v>
      </c>
      <c r="D61" s="14">
        <v>75397</v>
      </c>
      <c r="E61" s="14">
        <v>19016</v>
      </c>
      <c r="F61" s="14">
        <v>10522</v>
      </c>
      <c r="G61" s="14">
        <v>79484</v>
      </c>
      <c r="H61" s="14">
        <v>23269</v>
      </c>
      <c r="I61" s="20">
        <v>49566</v>
      </c>
      <c r="J61" s="14">
        <v>16369</v>
      </c>
      <c r="K61" s="14">
        <f t="shared" ref="K61:K72" si="1">SUM(B61:J61)</f>
        <v>303489</v>
      </c>
    </row>
    <row r="62" spans="1:11">
      <c r="A62" s="23" t="s">
        <v>53</v>
      </c>
      <c r="B62" s="14">
        <v>22944</v>
      </c>
      <c r="C62" s="14">
        <v>7195</v>
      </c>
      <c r="D62" s="14">
        <v>76361</v>
      </c>
      <c r="E62" s="14">
        <v>12090</v>
      </c>
      <c r="F62" s="14">
        <v>10813</v>
      </c>
      <c r="G62" s="14">
        <v>98029</v>
      </c>
      <c r="H62" s="14">
        <v>23269</v>
      </c>
      <c r="I62" s="20">
        <v>50142</v>
      </c>
      <c r="J62" s="14">
        <v>24173</v>
      </c>
      <c r="K62" s="14">
        <f t="shared" si="1"/>
        <v>325016</v>
      </c>
    </row>
    <row r="63" spans="1:11">
      <c r="A63" s="23" t="s">
        <v>54</v>
      </c>
      <c r="B63" s="14">
        <v>22625</v>
      </c>
      <c r="C63" s="14">
        <v>7509</v>
      </c>
      <c r="D63" s="14">
        <v>67828</v>
      </c>
      <c r="E63" s="14">
        <v>6691</v>
      </c>
      <c r="F63" s="14">
        <v>10109</v>
      </c>
      <c r="G63" s="14">
        <v>98827</v>
      </c>
      <c r="H63" s="21">
        <v>23269</v>
      </c>
      <c r="I63" s="20">
        <v>50332</v>
      </c>
      <c r="J63" s="14">
        <v>27708</v>
      </c>
      <c r="K63" s="14">
        <f t="shared" si="1"/>
        <v>314898</v>
      </c>
    </row>
    <row r="64" spans="1:11">
      <c r="A64" s="23" t="s">
        <v>55</v>
      </c>
      <c r="B64" s="14">
        <v>22818</v>
      </c>
      <c r="C64" s="14">
        <v>8143</v>
      </c>
      <c r="D64" s="14">
        <v>65475</v>
      </c>
      <c r="E64" s="14">
        <v>3500</v>
      </c>
      <c r="F64" s="14">
        <v>10922</v>
      </c>
      <c r="G64" s="14">
        <v>101143</v>
      </c>
      <c r="H64" s="14">
        <v>23269</v>
      </c>
      <c r="I64" s="20">
        <v>0</v>
      </c>
      <c r="J64" s="14">
        <v>26984</v>
      </c>
      <c r="K64" s="14">
        <f t="shared" si="1"/>
        <v>262254</v>
      </c>
    </row>
    <row r="65" spans="1:11">
      <c r="A65" s="23" t="s">
        <v>56</v>
      </c>
      <c r="B65" s="14">
        <v>23375</v>
      </c>
      <c r="C65" s="14">
        <v>7673</v>
      </c>
      <c r="D65" s="14">
        <v>68452</v>
      </c>
      <c r="E65" s="14">
        <v>27705</v>
      </c>
      <c r="F65" s="14">
        <v>11632</v>
      </c>
      <c r="G65" s="14">
        <v>94514</v>
      </c>
      <c r="H65" s="14">
        <v>23269</v>
      </c>
      <c r="I65" s="20">
        <v>0</v>
      </c>
      <c r="J65" s="14">
        <v>31320</v>
      </c>
      <c r="K65" s="14">
        <f t="shared" si="1"/>
        <v>287940</v>
      </c>
    </row>
    <row r="66" spans="1:11">
      <c r="A66" s="23" t="s">
        <v>57</v>
      </c>
      <c r="B66" s="14">
        <v>22181</v>
      </c>
      <c r="C66" s="14">
        <v>8113</v>
      </c>
      <c r="D66" s="14">
        <v>69044</v>
      </c>
      <c r="E66" s="14">
        <v>41668</v>
      </c>
      <c r="F66" s="14">
        <v>11970</v>
      </c>
      <c r="G66" s="14">
        <v>108682</v>
      </c>
      <c r="H66" s="14">
        <v>23269</v>
      </c>
      <c r="I66" s="20">
        <v>0</v>
      </c>
      <c r="J66" s="14">
        <v>32079</v>
      </c>
      <c r="K66" s="14">
        <f t="shared" si="1"/>
        <v>317006</v>
      </c>
    </row>
    <row r="67" spans="1:11">
      <c r="A67" s="23" t="s">
        <v>58</v>
      </c>
      <c r="B67" s="14">
        <v>24524</v>
      </c>
      <c r="C67" s="14">
        <v>7522</v>
      </c>
      <c r="D67" s="14">
        <v>71016</v>
      </c>
      <c r="E67" s="14">
        <v>41273</v>
      </c>
      <c r="F67" s="14">
        <v>11074</v>
      </c>
      <c r="G67" s="14">
        <v>111418</v>
      </c>
      <c r="H67" s="14">
        <v>23269</v>
      </c>
      <c r="I67" s="20">
        <v>0</v>
      </c>
      <c r="J67" s="14">
        <v>31730</v>
      </c>
      <c r="K67" s="14">
        <f t="shared" si="1"/>
        <v>321826</v>
      </c>
    </row>
    <row r="68" spans="1:11">
      <c r="A68" s="23" t="s">
        <v>59</v>
      </c>
      <c r="B68" s="14">
        <v>25188</v>
      </c>
      <c r="C68" s="14">
        <v>7869</v>
      </c>
      <c r="D68" s="14">
        <v>67868</v>
      </c>
      <c r="E68" s="14">
        <v>29608</v>
      </c>
      <c r="F68" s="14">
        <v>12631</v>
      </c>
      <c r="G68" s="14">
        <v>105845</v>
      </c>
      <c r="H68" s="14">
        <v>23269</v>
      </c>
      <c r="I68" s="20">
        <v>0</v>
      </c>
      <c r="J68" s="14">
        <v>29622</v>
      </c>
      <c r="K68" s="14">
        <f t="shared" si="1"/>
        <v>301900</v>
      </c>
    </row>
    <row r="69" spans="1:11">
      <c r="A69" s="23" t="s">
        <v>67</v>
      </c>
      <c r="B69" s="14">
        <v>23934</v>
      </c>
      <c r="C69" s="14">
        <v>8650</v>
      </c>
      <c r="D69" s="14">
        <v>72337</v>
      </c>
      <c r="E69" s="14">
        <v>27060</v>
      </c>
      <c r="F69" s="14">
        <v>13154</v>
      </c>
      <c r="G69" s="14">
        <v>96900</v>
      </c>
      <c r="H69" s="14">
        <v>23269</v>
      </c>
      <c r="I69" s="20">
        <v>0</v>
      </c>
      <c r="J69" s="14">
        <v>29783</v>
      </c>
      <c r="K69" s="14">
        <f t="shared" si="1"/>
        <v>295087</v>
      </c>
    </row>
    <row r="70" spans="1:11">
      <c r="A70" s="23" t="s">
        <v>60</v>
      </c>
      <c r="B70" s="14">
        <v>24939</v>
      </c>
      <c r="C70" s="14">
        <v>7522</v>
      </c>
      <c r="D70" s="14">
        <v>74760</v>
      </c>
      <c r="E70" s="14">
        <v>22240</v>
      </c>
      <c r="F70" s="14">
        <v>13148</v>
      </c>
      <c r="G70" s="14">
        <v>101287</v>
      </c>
      <c r="H70" s="14">
        <v>23269</v>
      </c>
      <c r="I70" s="20">
        <v>0</v>
      </c>
      <c r="J70" s="14">
        <v>36856</v>
      </c>
      <c r="K70" s="14">
        <f t="shared" si="1"/>
        <v>304021</v>
      </c>
    </row>
    <row r="71" spans="1:11">
      <c r="A71" s="23" t="s">
        <v>61</v>
      </c>
      <c r="B71" s="14">
        <v>24905</v>
      </c>
      <c r="C71" s="14">
        <v>7656</v>
      </c>
      <c r="D71" s="14">
        <v>68983</v>
      </c>
      <c r="E71" s="14">
        <v>29301</v>
      </c>
      <c r="F71" s="14">
        <v>12502</v>
      </c>
      <c r="G71" s="14">
        <v>99193</v>
      </c>
      <c r="H71" s="14">
        <v>23269</v>
      </c>
      <c r="I71" s="20">
        <v>0</v>
      </c>
      <c r="J71" s="14">
        <v>39390</v>
      </c>
      <c r="K71" s="14">
        <f t="shared" si="1"/>
        <v>305199</v>
      </c>
    </row>
    <row r="72" spans="1:11">
      <c r="A72" s="23" t="s">
        <v>51</v>
      </c>
      <c r="B72" s="14">
        <v>25557</v>
      </c>
      <c r="C72" s="14">
        <v>8100</v>
      </c>
      <c r="D72" s="14">
        <v>81719</v>
      </c>
      <c r="E72" s="14">
        <v>25940</v>
      </c>
      <c r="F72" s="14">
        <v>15803</v>
      </c>
      <c r="G72" s="14">
        <v>102949</v>
      </c>
      <c r="H72" s="14">
        <v>23269</v>
      </c>
      <c r="I72" s="20">
        <v>0</v>
      </c>
      <c r="J72" s="14">
        <v>40942</v>
      </c>
      <c r="K72" s="14">
        <f t="shared" si="1"/>
        <v>324279</v>
      </c>
    </row>
    <row r="73" spans="1:11" ht="13">
      <c r="A73" s="19" t="s">
        <v>46</v>
      </c>
      <c r="B73" s="14"/>
      <c r="C73" s="14"/>
      <c r="D73" s="14"/>
      <c r="E73" s="14"/>
      <c r="F73" s="14"/>
      <c r="G73" s="14"/>
      <c r="H73" s="14"/>
      <c r="I73" s="20"/>
      <c r="J73" s="14"/>
      <c r="K73" s="14"/>
    </row>
    <row r="74" spans="1:11">
      <c r="A74" s="23" t="s">
        <v>52</v>
      </c>
      <c r="B74" s="14">
        <v>25642</v>
      </c>
      <c r="C74" s="14">
        <v>6716</v>
      </c>
      <c r="D74" s="14">
        <v>84968</v>
      </c>
      <c r="E74" s="14">
        <v>32276</v>
      </c>
      <c r="F74" s="14">
        <v>12205</v>
      </c>
      <c r="G74" s="14">
        <v>119610</v>
      </c>
      <c r="H74" s="14">
        <v>23269</v>
      </c>
      <c r="I74" s="20">
        <v>0</v>
      </c>
      <c r="J74" s="14">
        <v>38971</v>
      </c>
      <c r="K74" s="14">
        <f t="shared" ref="K74:K111" si="2">SUM(B74:J74)</f>
        <v>343657</v>
      </c>
    </row>
    <row r="75" spans="1:11">
      <c r="A75" s="23" t="s">
        <v>53</v>
      </c>
      <c r="B75" s="14">
        <v>24201</v>
      </c>
      <c r="C75" s="14">
        <v>8176</v>
      </c>
      <c r="D75" s="14">
        <v>87205</v>
      </c>
      <c r="E75" s="14">
        <v>24543</v>
      </c>
      <c r="F75" s="14">
        <v>13955</v>
      </c>
      <c r="G75" s="14">
        <v>125128</v>
      </c>
      <c r="H75" s="14">
        <v>23269</v>
      </c>
      <c r="I75" s="20">
        <v>0</v>
      </c>
      <c r="J75" s="14">
        <v>40968</v>
      </c>
      <c r="K75" s="14">
        <f t="shared" si="2"/>
        <v>347445</v>
      </c>
    </row>
    <row r="76" spans="1:11">
      <c r="A76" s="23" t="s">
        <v>54</v>
      </c>
      <c r="B76" s="14">
        <v>25168</v>
      </c>
      <c r="C76" s="14">
        <v>8423</v>
      </c>
      <c r="D76" s="14">
        <v>79454</v>
      </c>
      <c r="E76" s="14">
        <v>28586</v>
      </c>
      <c r="F76" s="14">
        <v>15640</v>
      </c>
      <c r="G76" s="14">
        <v>130083</v>
      </c>
      <c r="H76" s="14">
        <v>23269</v>
      </c>
      <c r="I76" s="20">
        <v>0</v>
      </c>
      <c r="J76" s="14">
        <v>41438</v>
      </c>
      <c r="K76" s="14">
        <f t="shared" si="2"/>
        <v>352061</v>
      </c>
    </row>
    <row r="77" spans="1:11">
      <c r="A77" s="23" t="s">
        <v>55</v>
      </c>
      <c r="B77" s="14">
        <v>25267</v>
      </c>
      <c r="C77" s="14">
        <v>7826</v>
      </c>
      <c r="D77" s="14">
        <v>86587</v>
      </c>
      <c r="E77" s="14">
        <v>29798</v>
      </c>
      <c r="F77" s="14">
        <v>11965</v>
      </c>
      <c r="G77" s="14">
        <v>176692</v>
      </c>
      <c r="H77" s="14">
        <v>23269</v>
      </c>
      <c r="I77" s="20">
        <v>0</v>
      </c>
      <c r="J77" s="14">
        <v>23302</v>
      </c>
      <c r="K77" s="14">
        <f t="shared" si="2"/>
        <v>384706</v>
      </c>
    </row>
    <row r="78" spans="1:11">
      <c r="A78" s="23" t="s">
        <v>56</v>
      </c>
      <c r="B78" s="14">
        <v>25159</v>
      </c>
      <c r="C78" s="14">
        <v>7689</v>
      </c>
      <c r="D78" s="14">
        <v>97840</v>
      </c>
      <c r="E78" s="14">
        <v>35479</v>
      </c>
      <c r="F78" s="14">
        <v>12965</v>
      </c>
      <c r="G78" s="14">
        <v>159068</v>
      </c>
      <c r="H78" s="14">
        <v>23269</v>
      </c>
      <c r="I78" s="20">
        <v>0</v>
      </c>
      <c r="J78" s="14">
        <v>9780</v>
      </c>
      <c r="K78" s="14">
        <f t="shared" si="2"/>
        <v>371249</v>
      </c>
    </row>
    <row r="79" spans="1:11">
      <c r="A79" s="23" t="s">
        <v>57</v>
      </c>
      <c r="B79" s="14">
        <v>26364</v>
      </c>
      <c r="C79" s="14">
        <v>7033</v>
      </c>
      <c r="D79" s="14">
        <v>105629</v>
      </c>
      <c r="E79" s="14">
        <v>43576</v>
      </c>
      <c r="F79" s="14">
        <v>14160</v>
      </c>
      <c r="G79" s="14">
        <v>133793</v>
      </c>
      <c r="H79" s="14">
        <v>23269</v>
      </c>
      <c r="I79" s="20">
        <v>0</v>
      </c>
      <c r="J79" s="14">
        <v>10237</v>
      </c>
      <c r="K79" s="14">
        <f t="shared" si="2"/>
        <v>364061</v>
      </c>
    </row>
    <row r="80" spans="1:11">
      <c r="A80" s="23" t="s">
        <v>58</v>
      </c>
      <c r="B80" s="14">
        <v>26444</v>
      </c>
      <c r="C80" s="14">
        <v>7564</v>
      </c>
      <c r="D80" s="14">
        <v>113780</v>
      </c>
      <c r="E80" s="14">
        <v>39067</v>
      </c>
      <c r="F80" s="14">
        <v>12316</v>
      </c>
      <c r="G80" s="14">
        <v>130181</v>
      </c>
      <c r="H80" s="14">
        <v>23269</v>
      </c>
      <c r="I80" s="20">
        <v>0</v>
      </c>
      <c r="J80" s="14">
        <v>8308</v>
      </c>
      <c r="K80" s="14">
        <f t="shared" si="2"/>
        <v>360929</v>
      </c>
    </row>
    <row r="81" spans="1:11">
      <c r="A81" s="23" t="s">
        <v>59</v>
      </c>
      <c r="B81" s="14">
        <v>24137</v>
      </c>
      <c r="C81" s="14">
        <v>8266</v>
      </c>
      <c r="D81" s="14">
        <v>115712</v>
      </c>
      <c r="E81" s="14">
        <v>33935</v>
      </c>
      <c r="F81" s="14">
        <v>13034</v>
      </c>
      <c r="G81" s="14">
        <v>125957</v>
      </c>
      <c r="H81" s="14">
        <v>22469</v>
      </c>
      <c r="I81" s="20">
        <v>0</v>
      </c>
      <c r="J81" s="14">
        <v>8319</v>
      </c>
      <c r="K81" s="14">
        <f t="shared" si="2"/>
        <v>351829</v>
      </c>
    </row>
    <row r="82" spans="1:11">
      <c r="A82" s="23" t="s">
        <v>67</v>
      </c>
      <c r="B82" s="14">
        <v>24468</v>
      </c>
      <c r="C82" s="14">
        <v>7206</v>
      </c>
      <c r="D82" s="14">
        <v>120057</v>
      </c>
      <c r="E82" s="14">
        <v>29762</v>
      </c>
      <c r="F82" s="14">
        <v>13209</v>
      </c>
      <c r="G82" s="14">
        <v>115017</v>
      </c>
      <c r="H82" s="14">
        <v>19269</v>
      </c>
      <c r="I82" s="20">
        <v>0</v>
      </c>
      <c r="J82" s="14">
        <v>14620</v>
      </c>
      <c r="K82" s="14">
        <f t="shared" si="2"/>
        <v>343608</v>
      </c>
    </row>
    <row r="83" spans="1:11">
      <c r="A83" s="23" t="s">
        <v>60</v>
      </c>
      <c r="B83" s="14">
        <v>24661</v>
      </c>
      <c r="C83" s="14">
        <v>8430</v>
      </c>
      <c r="D83" s="14">
        <v>113618</v>
      </c>
      <c r="E83" s="14">
        <v>32015</v>
      </c>
      <c r="F83" s="14">
        <v>14062</v>
      </c>
      <c r="G83" s="14">
        <v>104751</v>
      </c>
      <c r="H83" s="14">
        <v>19269</v>
      </c>
      <c r="I83" s="20">
        <v>0</v>
      </c>
      <c r="J83" s="14">
        <v>15001</v>
      </c>
      <c r="K83" s="14">
        <f t="shared" si="2"/>
        <v>331807</v>
      </c>
    </row>
    <row r="84" spans="1:11">
      <c r="A84" s="23" t="s">
        <v>61</v>
      </c>
      <c r="B84" s="14">
        <v>25013</v>
      </c>
      <c r="C84" s="14">
        <v>7974</v>
      </c>
      <c r="D84" s="14">
        <v>109932</v>
      </c>
      <c r="E84" s="14">
        <v>29576</v>
      </c>
      <c r="F84" s="14">
        <v>14246</v>
      </c>
      <c r="G84" s="14">
        <v>111301</v>
      </c>
      <c r="H84" s="14">
        <v>19269</v>
      </c>
      <c r="I84" s="20">
        <v>0</v>
      </c>
      <c r="J84" s="14">
        <v>7422</v>
      </c>
      <c r="K84" s="14">
        <f t="shared" si="2"/>
        <v>324733</v>
      </c>
    </row>
    <row r="85" spans="1:11">
      <c r="A85" s="23" t="s">
        <v>51</v>
      </c>
      <c r="B85" s="14">
        <v>26541</v>
      </c>
      <c r="C85" s="14">
        <v>9024</v>
      </c>
      <c r="D85" s="14">
        <v>111821</v>
      </c>
      <c r="E85" s="14">
        <v>22818</v>
      </c>
      <c r="F85" s="14">
        <v>16904</v>
      </c>
      <c r="G85" s="14">
        <v>120032</v>
      </c>
      <c r="H85" s="14">
        <v>15519</v>
      </c>
      <c r="I85" s="20">
        <v>0</v>
      </c>
      <c r="J85" s="14">
        <v>7366</v>
      </c>
      <c r="K85" s="14">
        <f t="shared" si="2"/>
        <v>330025</v>
      </c>
    </row>
    <row r="86" spans="1:11" ht="15" customHeight="1">
      <c r="A86" s="22">
        <v>2006</v>
      </c>
      <c r="B86" s="14"/>
      <c r="C86" s="14"/>
      <c r="D86" s="14"/>
      <c r="E86" s="14"/>
      <c r="F86" s="14"/>
      <c r="G86" s="14"/>
      <c r="H86" s="14"/>
      <c r="I86" s="20"/>
      <c r="J86" s="14"/>
      <c r="K86" s="14"/>
    </row>
    <row r="87" spans="1:11">
      <c r="A87" s="23" t="s">
        <v>52</v>
      </c>
      <c r="B87" s="14">
        <v>25838</v>
      </c>
      <c r="C87" s="14">
        <v>9242</v>
      </c>
      <c r="D87" s="14">
        <v>122111</v>
      </c>
      <c r="E87" s="14">
        <v>21329</v>
      </c>
      <c r="F87" s="14">
        <v>14135</v>
      </c>
      <c r="G87" s="14">
        <v>117202</v>
      </c>
      <c r="H87" s="14">
        <v>14269</v>
      </c>
      <c r="I87" s="20">
        <v>0</v>
      </c>
      <c r="J87" s="14">
        <v>7310</v>
      </c>
      <c r="K87" s="14">
        <f t="shared" si="2"/>
        <v>331436</v>
      </c>
    </row>
    <row r="88" spans="1:11">
      <c r="A88" s="23" t="s">
        <v>53</v>
      </c>
      <c r="B88" s="14">
        <v>23392</v>
      </c>
      <c r="C88" s="14">
        <v>7567</v>
      </c>
      <c r="D88" s="14">
        <v>131562</v>
      </c>
      <c r="E88" s="14">
        <v>28523</v>
      </c>
      <c r="F88" s="14">
        <v>14765</v>
      </c>
      <c r="G88" s="14">
        <v>113551</v>
      </c>
      <c r="H88" s="14">
        <v>14269</v>
      </c>
      <c r="I88" s="20">
        <v>0</v>
      </c>
      <c r="J88" s="14">
        <v>7254</v>
      </c>
      <c r="K88" s="14">
        <f t="shared" si="2"/>
        <v>340883</v>
      </c>
    </row>
    <row r="89" spans="1:11">
      <c r="A89" s="23" t="s">
        <v>54</v>
      </c>
      <c r="B89" s="14">
        <v>26065</v>
      </c>
      <c r="C89" s="14">
        <v>9640</v>
      </c>
      <c r="D89" s="14">
        <v>128158</v>
      </c>
      <c r="E89" s="14">
        <v>28775</v>
      </c>
      <c r="F89" s="14">
        <v>16652</v>
      </c>
      <c r="G89" s="14">
        <v>120860</v>
      </c>
      <c r="H89" s="14">
        <v>14269</v>
      </c>
      <c r="I89" s="20">
        <v>0</v>
      </c>
      <c r="J89" s="14">
        <v>7198</v>
      </c>
      <c r="K89" s="14">
        <f t="shared" si="2"/>
        <v>351617</v>
      </c>
    </row>
    <row r="90" spans="1:11">
      <c r="A90" s="23" t="s">
        <v>55</v>
      </c>
      <c r="B90" s="14">
        <v>26790</v>
      </c>
      <c r="C90" s="14">
        <v>8841</v>
      </c>
      <c r="D90" s="14">
        <v>129771</v>
      </c>
      <c r="E90" s="14">
        <v>30311</v>
      </c>
      <c r="F90" s="14">
        <v>16265</v>
      </c>
      <c r="G90" s="14">
        <v>124587</v>
      </c>
      <c r="H90" s="14">
        <v>14269</v>
      </c>
      <c r="I90" s="20">
        <v>0</v>
      </c>
      <c r="J90" s="14">
        <v>7142</v>
      </c>
      <c r="K90" s="14">
        <f t="shared" si="2"/>
        <v>357976</v>
      </c>
    </row>
    <row r="91" spans="1:11">
      <c r="A91" s="23" t="s">
        <v>56</v>
      </c>
      <c r="B91" s="14">
        <v>27288</v>
      </c>
      <c r="C91" s="14">
        <v>9709</v>
      </c>
      <c r="D91" s="14">
        <v>127996</v>
      </c>
      <c r="E91" s="14">
        <v>37933</v>
      </c>
      <c r="F91" s="14">
        <v>16448</v>
      </c>
      <c r="G91" s="14">
        <v>123393</v>
      </c>
      <c r="H91" s="14">
        <v>14269</v>
      </c>
      <c r="I91" s="20">
        <v>0</v>
      </c>
      <c r="J91" s="14">
        <v>7086</v>
      </c>
      <c r="K91" s="14">
        <f t="shared" si="2"/>
        <v>364122</v>
      </c>
    </row>
    <row r="92" spans="1:11">
      <c r="A92" s="23" t="s">
        <v>57</v>
      </c>
      <c r="B92" s="14">
        <v>26396</v>
      </c>
      <c r="C92" s="14">
        <v>8821</v>
      </c>
      <c r="D92" s="14">
        <v>127740</v>
      </c>
      <c r="E92" s="14">
        <v>42968</v>
      </c>
      <c r="F92" s="14">
        <v>16547</v>
      </c>
      <c r="G92" s="14">
        <v>124252</v>
      </c>
      <c r="H92" s="14">
        <v>14269</v>
      </c>
      <c r="I92" s="20">
        <v>0</v>
      </c>
      <c r="J92" s="14">
        <v>7029</v>
      </c>
      <c r="K92" s="14">
        <f t="shared" si="2"/>
        <v>368022</v>
      </c>
    </row>
    <row r="93" spans="1:11">
      <c r="A93" s="23" t="s">
        <v>58</v>
      </c>
      <c r="B93" s="14">
        <v>27429</v>
      </c>
      <c r="C93" s="14">
        <v>9224</v>
      </c>
      <c r="D93" s="14">
        <v>123559</v>
      </c>
      <c r="E93" s="14">
        <v>45166</v>
      </c>
      <c r="F93" s="14">
        <v>13949</v>
      </c>
      <c r="G93" s="14">
        <v>135876</v>
      </c>
      <c r="H93" s="14">
        <v>14269</v>
      </c>
      <c r="I93" s="20">
        <v>0</v>
      </c>
      <c r="J93" s="14">
        <v>6974</v>
      </c>
      <c r="K93" s="14">
        <f t="shared" si="2"/>
        <v>376446</v>
      </c>
    </row>
    <row r="94" spans="1:11">
      <c r="A94" s="23" t="s">
        <v>59</v>
      </c>
      <c r="B94" s="14">
        <v>27262</v>
      </c>
      <c r="C94" s="14">
        <v>8141</v>
      </c>
      <c r="D94" s="14">
        <v>124632</v>
      </c>
      <c r="E94" s="14">
        <v>47411</v>
      </c>
      <c r="F94" s="14">
        <v>11982</v>
      </c>
      <c r="G94" s="14">
        <v>145556</v>
      </c>
      <c r="H94" s="14">
        <v>14269</v>
      </c>
      <c r="I94" s="20">
        <v>0</v>
      </c>
      <c r="J94" s="14">
        <v>6918</v>
      </c>
      <c r="K94" s="14">
        <f t="shared" si="2"/>
        <v>386171</v>
      </c>
    </row>
    <row r="95" spans="1:11">
      <c r="A95" s="23" t="s">
        <v>67</v>
      </c>
      <c r="B95" s="14">
        <v>26741</v>
      </c>
      <c r="C95" s="14">
        <v>8670</v>
      </c>
      <c r="D95" s="14">
        <v>151700</v>
      </c>
      <c r="E95" s="14">
        <v>29880</v>
      </c>
      <c r="F95" s="14">
        <v>12143</v>
      </c>
      <c r="G95" s="14">
        <v>129601</v>
      </c>
      <c r="H95" s="14">
        <v>14269</v>
      </c>
      <c r="I95" s="20">
        <v>0</v>
      </c>
      <c r="J95" s="14">
        <v>6862</v>
      </c>
      <c r="K95" s="14">
        <f t="shared" si="2"/>
        <v>379866</v>
      </c>
    </row>
    <row r="96" spans="1:11">
      <c r="A96" s="23" t="s">
        <v>60</v>
      </c>
      <c r="B96" s="14">
        <v>27158</v>
      </c>
      <c r="C96" s="14">
        <v>9374</v>
      </c>
      <c r="D96" s="14">
        <v>154245</v>
      </c>
      <c r="E96" s="14">
        <v>22846</v>
      </c>
      <c r="F96" s="14">
        <v>8067</v>
      </c>
      <c r="G96" s="14">
        <v>120566</v>
      </c>
      <c r="H96" s="14">
        <v>14269</v>
      </c>
      <c r="I96" s="20">
        <v>0</v>
      </c>
      <c r="J96" s="14">
        <v>6806</v>
      </c>
      <c r="K96" s="14">
        <f t="shared" si="2"/>
        <v>363331</v>
      </c>
    </row>
    <row r="97" spans="1:11">
      <c r="A97" s="23" t="s">
        <v>61</v>
      </c>
      <c r="B97" s="21">
        <v>26705</v>
      </c>
      <c r="C97" s="14">
        <v>10317</v>
      </c>
      <c r="D97" s="21">
        <v>151386</v>
      </c>
      <c r="E97" s="14">
        <v>16542</v>
      </c>
      <c r="F97" s="21">
        <v>14271</v>
      </c>
      <c r="G97" s="14">
        <v>131900</v>
      </c>
      <c r="H97" s="21">
        <v>14269</v>
      </c>
      <c r="I97" s="20">
        <v>0</v>
      </c>
      <c r="J97" s="21">
        <v>7361</v>
      </c>
      <c r="K97" s="14">
        <f t="shared" si="2"/>
        <v>372751</v>
      </c>
    </row>
    <row r="98" spans="1:11">
      <c r="A98" s="23" t="s">
        <v>51</v>
      </c>
      <c r="B98" s="14">
        <v>28560</v>
      </c>
      <c r="C98" s="14">
        <v>11087</v>
      </c>
      <c r="D98" s="14">
        <v>149079</v>
      </c>
      <c r="E98" s="14">
        <v>21118</v>
      </c>
      <c r="F98" s="14">
        <v>15081</v>
      </c>
      <c r="G98" s="14">
        <v>131022</v>
      </c>
      <c r="H98" s="14">
        <v>11067</v>
      </c>
      <c r="I98" s="20">
        <v>0</v>
      </c>
      <c r="J98" s="14">
        <v>7361</v>
      </c>
      <c r="K98" s="14">
        <f t="shared" si="2"/>
        <v>374375</v>
      </c>
    </row>
    <row r="99" spans="1:11" ht="13">
      <c r="A99" s="22">
        <v>2007</v>
      </c>
      <c r="I99" s="20"/>
    </row>
    <row r="100" spans="1:11">
      <c r="A100" s="23" t="s">
        <v>52</v>
      </c>
      <c r="B100" s="14">
        <v>30015</v>
      </c>
      <c r="C100" s="14">
        <v>9790</v>
      </c>
      <c r="D100" s="14">
        <v>160238</v>
      </c>
      <c r="E100" s="14">
        <v>14130</v>
      </c>
      <c r="F100" s="14">
        <v>13967</v>
      </c>
      <c r="G100" s="14">
        <v>142870</v>
      </c>
      <c r="H100" s="14">
        <v>10000</v>
      </c>
      <c r="I100" s="20">
        <v>0</v>
      </c>
      <c r="J100" s="14">
        <v>5317</v>
      </c>
      <c r="K100" s="14">
        <f t="shared" si="2"/>
        <v>386327</v>
      </c>
    </row>
    <row r="101" spans="1:11">
      <c r="A101" s="23" t="s">
        <v>53</v>
      </c>
      <c r="B101" s="14">
        <v>27620</v>
      </c>
      <c r="C101" s="14">
        <v>10209</v>
      </c>
      <c r="D101" s="14">
        <v>153238</v>
      </c>
      <c r="E101" s="14">
        <v>27565</v>
      </c>
      <c r="F101" s="14">
        <v>17178</v>
      </c>
      <c r="G101" s="14">
        <v>145430</v>
      </c>
      <c r="H101" s="14">
        <v>10000</v>
      </c>
      <c r="I101" s="20">
        <v>0</v>
      </c>
      <c r="J101" s="14">
        <v>2195</v>
      </c>
      <c r="K101" s="14">
        <f t="shared" si="2"/>
        <v>393435</v>
      </c>
    </row>
    <row r="102" spans="1:11">
      <c r="A102" s="23" t="s">
        <v>54</v>
      </c>
      <c r="B102" s="14">
        <v>29041</v>
      </c>
      <c r="C102" s="14">
        <v>11267</v>
      </c>
      <c r="D102" s="14">
        <v>158912</v>
      </c>
      <c r="E102" s="14">
        <v>29672</v>
      </c>
      <c r="F102" s="14">
        <v>23334</v>
      </c>
      <c r="G102" s="14">
        <v>162378</v>
      </c>
      <c r="H102" s="14">
        <v>10000</v>
      </c>
      <c r="I102" s="20">
        <v>0</v>
      </c>
      <c r="J102" s="14">
        <v>2140</v>
      </c>
      <c r="K102" s="14">
        <f t="shared" si="2"/>
        <v>426744</v>
      </c>
    </row>
    <row r="103" spans="1:11">
      <c r="A103" s="23" t="s">
        <v>55</v>
      </c>
      <c r="B103" s="14">
        <v>31495</v>
      </c>
      <c r="C103" s="14">
        <v>11341</v>
      </c>
      <c r="D103" s="14">
        <v>159008</v>
      </c>
      <c r="E103" s="14">
        <v>30302</v>
      </c>
      <c r="F103" s="14">
        <v>24696</v>
      </c>
      <c r="G103" s="14">
        <v>162762</v>
      </c>
      <c r="H103" s="14">
        <v>10000</v>
      </c>
      <c r="I103" s="20">
        <v>0</v>
      </c>
      <c r="J103" s="14">
        <v>2083</v>
      </c>
      <c r="K103" s="14">
        <f t="shared" si="2"/>
        <v>431687</v>
      </c>
    </row>
    <row r="104" spans="1:11">
      <c r="A104" s="23" t="s">
        <v>56</v>
      </c>
      <c r="B104" s="14">
        <v>29763</v>
      </c>
      <c r="C104" s="14">
        <v>11593</v>
      </c>
      <c r="D104" s="14">
        <v>163043</v>
      </c>
      <c r="E104" s="14">
        <v>47476</v>
      </c>
      <c r="F104" s="14">
        <v>24396</v>
      </c>
      <c r="G104" s="14">
        <v>148942</v>
      </c>
      <c r="H104" s="14">
        <v>10000</v>
      </c>
      <c r="I104" s="20">
        <v>0</v>
      </c>
      <c r="J104" s="14">
        <v>2083</v>
      </c>
      <c r="K104" s="14">
        <f t="shared" si="2"/>
        <v>437296</v>
      </c>
    </row>
    <row r="105" spans="1:11">
      <c r="A105" s="23" t="s">
        <v>57</v>
      </c>
      <c r="B105" s="14">
        <v>30738</v>
      </c>
      <c r="C105" s="14">
        <v>8874</v>
      </c>
      <c r="D105" s="14">
        <v>163617</v>
      </c>
      <c r="E105" s="14">
        <v>46537</v>
      </c>
      <c r="F105" s="14">
        <v>25712</v>
      </c>
      <c r="G105" s="14">
        <v>150755</v>
      </c>
      <c r="H105" s="14">
        <v>10000</v>
      </c>
      <c r="I105" s="20">
        <v>0</v>
      </c>
      <c r="J105" s="14">
        <v>1905</v>
      </c>
      <c r="K105" s="14">
        <f t="shared" si="2"/>
        <v>438138</v>
      </c>
    </row>
    <row r="106" spans="1:11">
      <c r="A106" s="23" t="s">
        <v>58</v>
      </c>
      <c r="B106" s="14">
        <v>31630</v>
      </c>
      <c r="C106" s="14">
        <v>9473</v>
      </c>
      <c r="D106" s="14">
        <v>161537</v>
      </c>
      <c r="E106" s="14">
        <v>41698</v>
      </c>
      <c r="F106" s="14">
        <v>25936</v>
      </c>
      <c r="G106" s="14">
        <v>155940</v>
      </c>
      <c r="H106" s="14">
        <v>10000</v>
      </c>
      <c r="I106" s="20">
        <v>0</v>
      </c>
      <c r="J106" s="14">
        <v>1750</v>
      </c>
      <c r="K106" s="14">
        <f t="shared" si="2"/>
        <v>437964</v>
      </c>
    </row>
    <row r="107" spans="1:11">
      <c r="A107" s="23" t="s">
        <v>59</v>
      </c>
      <c r="B107" s="14">
        <v>31013</v>
      </c>
      <c r="C107" s="14">
        <v>10002</v>
      </c>
      <c r="D107" s="14">
        <v>160796</v>
      </c>
      <c r="E107" s="14">
        <v>45225</v>
      </c>
      <c r="F107" s="14">
        <v>17023</v>
      </c>
      <c r="G107" s="14">
        <v>150270</v>
      </c>
      <c r="H107" s="14">
        <v>10000</v>
      </c>
      <c r="I107" s="20">
        <v>0</v>
      </c>
      <c r="J107" s="14">
        <v>1750</v>
      </c>
      <c r="K107" s="14">
        <f t="shared" si="2"/>
        <v>426079</v>
      </c>
    </row>
    <row r="108" spans="1:11">
      <c r="A108" s="23" t="s">
        <v>67</v>
      </c>
      <c r="B108" s="14">
        <v>33140</v>
      </c>
      <c r="C108" s="14">
        <v>9673</v>
      </c>
      <c r="D108" s="14">
        <v>168176</v>
      </c>
      <c r="E108" s="14">
        <v>37880</v>
      </c>
      <c r="F108" s="14">
        <v>19502</v>
      </c>
      <c r="G108" s="14">
        <v>142222</v>
      </c>
      <c r="H108" s="14">
        <v>10000</v>
      </c>
      <c r="I108" s="20">
        <v>0</v>
      </c>
      <c r="J108" s="14">
        <v>1750</v>
      </c>
      <c r="K108" s="14">
        <f t="shared" si="2"/>
        <v>422343</v>
      </c>
    </row>
    <row r="109" spans="1:11">
      <c r="A109" s="23" t="s">
        <v>60</v>
      </c>
      <c r="B109" s="14">
        <v>31440</v>
      </c>
      <c r="C109" s="14">
        <v>8990</v>
      </c>
      <c r="D109" s="14">
        <v>161703</v>
      </c>
      <c r="E109" s="14">
        <v>41869</v>
      </c>
      <c r="F109" s="14">
        <v>19483</v>
      </c>
      <c r="G109" s="14">
        <v>133344</v>
      </c>
      <c r="H109" s="14">
        <v>10000</v>
      </c>
      <c r="I109" s="20">
        <v>0</v>
      </c>
      <c r="J109" s="14">
        <v>2151</v>
      </c>
      <c r="K109" s="14">
        <f t="shared" si="2"/>
        <v>408980</v>
      </c>
    </row>
    <row r="110" spans="1:11">
      <c r="A110" s="23" t="s">
        <v>61</v>
      </c>
      <c r="B110" s="14">
        <v>30928</v>
      </c>
      <c r="C110" s="14">
        <v>9693</v>
      </c>
      <c r="D110" s="14">
        <v>170729</v>
      </c>
      <c r="E110" s="14">
        <v>42412</v>
      </c>
      <c r="F110" s="14">
        <v>21258</v>
      </c>
      <c r="G110" s="14">
        <v>119879</v>
      </c>
      <c r="H110" s="14">
        <v>10000</v>
      </c>
      <c r="I110" s="20">
        <v>0</v>
      </c>
      <c r="J110" s="14">
        <v>2985</v>
      </c>
      <c r="K110" s="14">
        <f t="shared" si="2"/>
        <v>407884</v>
      </c>
    </row>
    <row r="111" spans="1:11">
      <c r="A111" s="23" t="s">
        <v>51</v>
      </c>
      <c r="B111" s="14">
        <v>30821</v>
      </c>
      <c r="C111" s="14">
        <v>11655</v>
      </c>
      <c r="D111" s="14">
        <v>167805</v>
      </c>
      <c r="E111" s="14">
        <v>44926</v>
      </c>
      <c r="F111" s="14">
        <v>24695</v>
      </c>
      <c r="G111" s="14">
        <v>124426</v>
      </c>
      <c r="H111" s="14">
        <v>10000</v>
      </c>
      <c r="I111" s="20">
        <v>0</v>
      </c>
      <c r="J111" s="14">
        <v>2368</v>
      </c>
      <c r="K111" s="14">
        <f t="shared" si="2"/>
        <v>416696</v>
      </c>
    </row>
    <row r="112" spans="1:11" ht="13">
      <c r="A112" s="19" t="s">
        <v>47</v>
      </c>
      <c r="B112" s="18"/>
      <c r="C112" s="18"/>
      <c r="D112" s="18"/>
      <c r="E112" s="18"/>
      <c r="F112" s="18"/>
      <c r="G112" s="18"/>
      <c r="H112" s="18"/>
      <c r="I112" s="20"/>
      <c r="J112" s="18"/>
      <c r="K112" s="18"/>
    </row>
    <row r="113" spans="1:11">
      <c r="A113" s="23" t="s">
        <v>52</v>
      </c>
      <c r="B113" s="18">
        <v>32632</v>
      </c>
      <c r="C113" s="18">
        <v>10269</v>
      </c>
      <c r="D113" s="18">
        <v>166369</v>
      </c>
      <c r="E113" s="18">
        <v>32181</v>
      </c>
      <c r="F113" s="18">
        <v>25543</v>
      </c>
      <c r="G113" s="18">
        <v>147336</v>
      </c>
      <c r="H113" s="18">
        <v>10000</v>
      </c>
      <c r="I113" s="20">
        <v>0</v>
      </c>
      <c r="J113" s="18">
        <v>6426</v>
      </c>
      <c r="K113" s="18">
        <f t="shared" ref="K113:K121" si="3">SUM(B113:J113)</f>
        <v>430756</v>
      </c>
    </row>
    <row r="114" spans="1:11">
      <c r="A114" s="23" t="s">
        <v>53</v>
      </c>
      <c r="B114" s="18">
        <v>34013</v>
      </c>
      <c r="C114" s="18">
        <v>10390</v>
      </c>
      <c r="D114" s="18">
        <v>169585</v>
      </c>
      <c r="E114" s="18">
        <v>44832</v>
      </c>
      <c r="F114" s="18">
        <v>21688</v>
      </c>
      <c r="G114" s="18">
        <v>140855</v>
      </c>
      <c r="H114" s="18">
        <v>10000</v>
      </c>
      <c r="I114" s="20">
        <v>0</v>
      </c>
      <c r="J114" s="18">
        <v>7511</v>
      </c>
      <c r="K114" s="18">
        <f t="shared" si="3"/>
        <v>438874</v>
      </c>
    </row>
    <row r="115" spans="1:11">
      <c r="A115" s="23" t="s">
        <v>54</v>
      </c>
      <c r="B115" s="18">
        <v>33540</v>
      </c>
      <c r="C115" s="18">
        <v>11939</v>
      </c>
      <c r="D115" s="18">
        <v>179702</v>
      </c>
      <c r="E115" s="18">
        <v>52808</v>
      </c>
      <c r="F115" s="18">
        <v>24305</v>
      </c>
      <c r="G115" s="18">
        <v>151025</v>
      </c>
      <c r="H115" s="18">
        <v>10000</v>
      </c>
      <c r="I115" s="20">
        <v>0</v>
      </c>
      <c r="J115" s="18">
        <v>7331</v>
      </c>
      <c r="K115" s="18">
        <f t="shared" si="3"/>
        <v>470650</v>
      </c>
    </row>
    <row r="116" spans="1:11">
      <c r="A116" s="23" t="s">
        <v>55</v>
      </c>
      <c r="B116" s="18">
        <v>33772</v>
      </c>
      <c r="C116" s="18">
        <v>12043</v>
      </c>
      <c r="D116" s="18">
        <v>180466</v>
      </c>
      <c r="E116" s="18">
        <v>58217</v>
      </c>
      <c r="F116" s="18">
        <v>21693</v>
      </c>
      <c r="G116" s="18">
        <v>152732</v>
      </c>
      <c r="H116" s="18">
        <v>10000</v>
      </c>
      <c r="I116" s="20">
        <v>0</v>
      </c>
      <c r="J116" s="18">
        <v>7599</v>
      </c>
      <c r="K116" s="18">
        <f t="shared" si="3"/>
        <v>476522</v>
      </c>
    </row>
    <row r="117" spans="1:11">
      <c r="A117" s="23" t="s">
        <v>56</v>
      </c>
      <c r="B117" s="18">
        <v>33121</v>
      </c>
      <c r="C117" s="18">
        <v>10857</v>
      </c>
      <c r="D117" s="18">
        <v>196729</v>
      </c>
      <c r="E117" s="18">
        <v>60000</v>
      </c>
      <c r="F117" s="18">
        <v>21875</v>
      </c>
      <c r="G117" s="18">
        <v>154262</v>
      </c>
      <c r="H117" s="18">
        <v>0</v>
      </c>
      <c r="I117" s="20">
        <v>0</v>
      </c>
      <c r="J117" s="18">
        <v>7680</v>
      </c>
      <c r="K117" s="18">
        <f t="shared" si="3"/>
        <v>484524</v>
      </c>
    </row>
    <row r="118" spans="1:11">
      <c r="A118" s="23" t="s">
        <v>57</v>
      </c>
      <c r="B118" s="18">
        <v>33682</v>
      </c>
      <c r="C118" s="18">
        <v>12208</v>
      </c>
      <c r="D118" s="18">
        <v>202324</v>
      </c>
      <c r="E118" s="18">
        <v>55192</v>
      </c>
      <c r="F118" s="18">
        <v>19304</v>
      </c>
      <c r="G118" s="18">
        <v>153573</v>
      </c>
      <c r="H118" s="18">
        <v>0</v>
      </c>
      <c r="I118" s="20">
        <v>0</v>
      </c>
      <c r="J118" s="18">
        <v>7370</v>
      </c>
      <c r="K118" s="18">
        <f t="shared" si="3"/>
        <v>483653</v>
      </c>
    </row>
    <row r="119" spans="1:11">
      <c r="A119" s="23" t="s">
        <v>58</v>
      </c>
      <c r="B119" s="18">
        <v>32672</v>
      </c>
      <c r="C119" s="18">
        <v>12349</v>
      </c>
      <c r="D119" s="18">
        <v>187777</v>
      </c>
      <c r="E119" s="18">
        <v>62344</v>
      </c>
      <c r="F119" s="18">
        <v>20483</v>
      </c>
      <c r="G119" s="18">
        <v>141523</v>
      </c>
      <c r="H119" s="18">
        <v>0</v>
      </c>
      <c r="I119" s="20">
        <v>0</v>
      </c>
      <c r="J119" s="18">
        <v>7408</v>
      </c>
      <c r="K119" s="18">
        <f t="shared" si="3"/>
        <v>464556</v>
      </c>
    </row>
    <row r="120" spans="1:11">
      <c r="A120" s="23" t="s">
        <v>59</v>
      </c>
      <c r="B120" s="18">
        <v>33651</v>
      </c>
      <c r="C120" s="18">
        <v>10497</v>
      </c>
      <c r="D120" s="18">
        <v>191521</v>
      </c>
      <c r="E120" s="18">
        <v>68159</v>
      </c>
      <c r="F120" s="18">
        <v>16892</v>
      </c>
      <c r="G120" s="18">
        <v>137530</v>
      </c>
      <c r="H120" s="18">
        <v>0</v>
      </c>
      <c r="I120" s="20">
        <v>0</v>
      </c>
      <c r="J120" s="18">
        <v>7123</v>
      </c>
      <c r="K120" s="18">
        <f t="shared" si="3"/>
        <v>465373</v>
      </c>
    </row>
    <row r="121" spans="1:11">
      <c r="A121" s="23" t="s">
        <v>67</v>
      </c>
      <c r="B121" s="18">
        <v>34199</v>
      </c>
      <c r="C121" s="18">
        <v>11912</v>
      </c>
      <c r="D121" s="18">
        <v>190771</v>
      </c>
      <c r="E121" s="18">
        <v>70754</v>
      </c>
      <c r="F121" s="18">
        <v>20477</v>
      </c>
      <c r="G121" s="18">
        <v>121328</v>
      </c>
      <c r="H121" s="18">
        <v>0</v>
      </c>
      <c r="I121" s="20">
        <v>0</v>
      </c>
      <c r="J121" s="18">
        <v>6863</v>
      </c>
      <c r="K121" s="18">
        <f t="shared" si="3"/>
        <v>456304</v>
      </c>
    </row>
    <row r="122" spans="1:11">
      <c r="A122" s="23" t="s">
        <v>60</v>
      </c>
      <c r="B122" s="18">
        <v>33520</v>
      </c>
      <c r="C122" s="18">
        <v>12948</v>
      </c>
      <c r="D122" s="18">
        <v>191527</v>
      </c>
      <c r="E122" s="18">
        <f>64504+10603</f>
        <v>75107</v>
      </c>
      <c r="F122" s="18">
        <f>2859+14424</f>
        <v>17283</v>
      </c>
      <c r="G122" s="18">
        <v>116423</v>
      </c>
      <c r="H122" s="18">
        <v>0</v>
      </c>
      <c r="I122" s="20">
        <v>0</v>
      </c>
      <c r="J122" s="18">
        <v>6575</v>
      </c>
      <c r="K122" s="18">
        <f>SUM(B122:J122)</f>
        <v>453383</v>
      </c>
    </row>
    <row r="123" spans="1:11">
      <c r="A123" s="23" t="s">
        <v>61</v>
      </c>
      <c r="B123" s="18">
        <v>33987</v>
      </c>
      <c r="C123" s="18">
        <v>9903</v>
      </c>
      <c r="D123" s="18">
        <v>185272</v>
      </c>
      <c r="E123" s="18">
        <f>73009+10669</f>
        <v>83678</v>
      </c>
      <c r="F123" s="18">
        <f>2859+16163</f>
        <v>19022</v>
      </c>
      <c r="G123" s="18">
        <v>124892</v>
      </c>
      <c r="H123" s="18">
        <v>0</v>
      </c>
      <c r="I123" s="20">
        <v>0</v>
      </c>
      <c r="J123" s="18">
        <v>6333</v>
      </c>
      <c r="K123" s="18">
        <f>SUM(B123:J123)</f>
        <v>463087</v>
      </c>
    </row>
    <row r="124" spans="1:11">
      <c r="A124" s="23" t="s">
        <v>51</v>
      </c>
      <c r="B124" s="18">
        <v>35332</v>
      </c>
      <c r="C124" s="20">
        <v>0</v>
      </c>
      <c r="D124" s="18">
        <v>194325</v>
      </c>
      <c r="E124" s="18">
        <f>79428+170</f>
        <v>79598</v>
      </c>
      <c r="F124" s="18">
        <f>2859+18314</f>
        <v>21173</v>
      </c>
      <c r="G124" s="18">
        <v>149259</v>
      </c>
      <c r="H124" s="18">
        <v>0</v>
      </c>
      <c r="I124" s="20">
        <v>0</v>
      </c>
      <c r="J124" s="20">
        <v>0</v>
      </c>
      <c r="K124" s="18">
        <f>SUM(B124:J124)</f>
        <v>479687</v>
      </c>
    </row>
    <row r="125" spans="1:11" ht="13">
      <c r="A125" s="19" t="s">
        <v>48</v>
      </c>
      <c r="B125" s="18"/>
      <c r="C125" s="18"/>
      <c r="D125" s="18"/>
      <c r="E125" s="18"/>
      <c r="F125" s="18"/>
      <c r="G125" s="18"/>
      <c r="H125" s="18"/>
      <c r="I125" s="20"/>
      <c r="J125" s="18"/>
      <c r="K125" s="18"/>
    </row>
    <row r="126" spans="1:11">
      <c r="A126" s="23" t="s">
        <v>52</v>
      </c>
      <c r="B126" s="18">
        <v>37236</v>
      </c>
      <c r="C126" s="18">
        <v>12212</v>
      </c>
      <c r="D126" s="18">
        <v>203522</v>
      </c>
      <c r="E126" s="18">
        <v>80822</v>
      </c>
      <c r="F126" s="18">
        <v>18849</v>
      </c>
      <c r="G126" s="18">
        <v>157811</v>
      </c>
      <c r="H126" s="18">
        <v>0</v>
      </c>
      <c r="I126" s="20">
        <v>0</v>
      </c>
      <c r="J126" s="20">
        <v>0</v>
      </c>
      <c r="K126" s="18">
        <v>510452</v>
      </c>
    </row>
    <row r="127" spans="1:11">
      <c r="A127" s="23" t="s">
        <v>53</v>
      </c>
      <c r="B127" s="18">
        <v>35039</v>
      </c>
      <c r="C127" s="18">
        <v>13090</v>
      </c>
      <c r="D127" s="18">
        <v>216993</v>
      </c>
      <c r="E127" s="18">
        <v>79069</v>
      </c>
      <c r="F127" s="18">
        <v>17825</v>
      </c>
      <c r="G127" s="18">
        <v>167940</v>
      </c>
      <c r="H127" s="18">
        <v>0</v>
      </c>
      <c r="I127" s="20">
        <v>0</v>
      </c>
      <c r="J127" s="20">
        <v>0</v>
      </c>
      <c r="K127" s="18">
        <v>529956</v>
      </c>
    </row>
    <row r="128" spans="1:11">
      <c r="A128" s="23" t="s">
        <v>54</v>
      </c>
      <c r="B128" s="18">
        <v>36305</v>
      </c>
      <c r="C128" s="18">
        <v>15273</v>
      </c>
      <c r="D128" s="18">
        <v>231361</v>
      </c>
      <c r="E128" s="18">
        <v>103476</v>
      </c>
      <c r="F128" s="18">
        <v>18722</v>
      </c>
      <c r="G128" s="18">
        <v>167900</v>
      </c>
      <c r="H128" s="18">
        <v>0</v>
      </c>
      <c r="I128" s="20">
        <v>0</v>
      </c>
      <c r="J128" s="20">
        <v>0</v>
      </c>
      <c r="K128" s="18">
        <v>573037</v>
      </c>
    </row>
    <row r="129" spans="1:11">
      <c r="A129" s="23" t="s">
        <v>55</v>
      </c>
      <c r="B129" s="18">
        <v>35905</v>
      </c>
      <c r="C129" s="18">
        <v>12125</v>
      </c>
      <c r="D129" s="18">
        <v>229980</v>
      </c>
      <c r="E129" s="18">
        <v>108404</v>
      </c>
      <c r="F129" s="18">
        <v>20855</v>
      </c>
      <c r="G129" s="18">
        <v>165104</v>
      </c>
      <c r="H129" s="18">
        <v>0</v>
      </c>
      <c r="I129" s="20">
        <v>0</v>
      </c>
      <c r="J129" s="20">
        <v>0</v>
      </c>
      <c r="K129" s="18">
        <v>572373</v>
      </c>
    </row>
    <row r="130" spans="1:11">
      <c r="A130" s="23" t="s">
        <v>56</v>
      </c>
      <c r="B130" s="18">
        <v>36452</v>
      </c>
      <c r="C130" s="18">
        <v>14054</v>
      </c>
      <c r="D130" s="18">
        <v>228718</v>
      </c>
      <c r="E130" s="18">
        <v>103015</v>
      </c>
      <c r="F130" s="18">
        <v>19989</v>
      </c>
      <c r="G130" s="18">
        <v>174523</v>
      </c>
      <c r="H130" s="18">
        <v>0</v>
      </c>
      <c r="I130" s="20">
        <v>0</v>
      </c>
      <c r="J130" s="20">
        <v>0</v>
      </c>
      <c r="K130" s="18">
        <v>576751</v>
      </c>
    </row>
    <row r="131" spans="1:11">
      <c r="A131" s="23" t="s">
        <v>57</v>
      </c>
      <c r="B131" s="18">
        <v>35095</v>
      </c>
      <c r="C131" s="18">
        <v>12585</v>
      </c>
      <c r="D131" s="18">
        <v>233951</v>
      </c>
      <c r="E131" s="18">
        <v>92672</v>
      </c>
      <c r="F131" s="18">
        <v>17800</v>
      </c>
      <c r="G131" s="18">
        <v>165314</v>
      </c>
      <c r="H131" s="18">
        <v>0</v>
      </c>
      <c r="I131" s="20">
        <v>0</v>
      </c>
      <c r="J131" s="20">
        <v>0</v>
      </c>
      <c r="K131" s="18">
        <v>557417</v>
      </c>
    </row>
    <row r="132" spans="1:11">
      <c r="A132" s="23" t="s">
        <v>58</v>
      </c>
      <c r="B132" s="18">
        <v>35335</v>
      </c>
      <c r="C132" s="18">
        <v>10121</v>
      </c>
      <c r="D132" s="18">
        <v>233525</v>
      </c>
      <c r="E132" s="18">
        <v>87582</v>
      </c>
      <c r="F132" s="18">
        <v>16688</v>
      </c>
      <c r="G132" s="18">
        <v>156024</v>
      </c>
      <c r="H132" s="18">
        <v>0</v>
      </c>
      <c r="I132" s="20">
        <v>0</v>
      </c>
      <c r="J132" s="20">
        <v>0</v>
      </c>
      <c r="K132" s="18">
        <v>539275</v>
      </c>
    </row>
    <row r="133" spans="1:11">
      <c r="A133" s="23" t="s">
        <v>59</v>
      </c>
      <c r="B133" s="18">
        <v>35221</v>
      </c>
      <c r="C133" s="18">
        <v>11867</v>
      </c>
      <c r="D133" s="18">
        <v>229440</v>
      </c>
      <c r="E133" s="18">
        <v>85679</v>
      </c>
      <c r="F133" s="18">
        <v>14996</v>
      </c>
      <c r="G133" s="18">
        <v>147856</v>
      </c>
      <c r="H133" s="18">
        <v>0</v>
      </c>
      <c r="I133" s="20">
        <v>0</v>
      </c>
      <c r="J133" s="20">
        <v>0</v>
      </c>
      <c r="K133" s="18">
        <v>525059</v>
      </c>
    </row>
    <row r="134" spans="1:11">
      <c r="A134" s="23" t="s">
        <v>67</v>
      </c>
      <c r="B134" s="18">
        <v>34942</v>
      </c>
      <c r="C134" s="18">
        <v>12078</v>
      </c>
      <c r="D134" s="18">
        <v>221376</v>
      </c>
      <c r="E134" s="18">
        <v>94443</v>
      </c>
      <c r="F134" s="18">
        <v>16132</v>
      </c>
      <c r="G134" s="18">
        <v>141050</v>
      </c>
      <c r="H134" s="18">
        <v>0</v>
      </c>
      <c r="I134" s="20">
        <v>0</v>
      </c>
      <c r="J134" s="20">
        <v>0</v>
      </c>
      <c r="K134" s="18">
        <v>520021</v>
      </c>
    </row>
    <row r="135" spans="1:11">
      <c r="A135" s="23" t="s">
        <v>60</v>
      </c>
      <c r="B135" s="18">
        <v>35062</v>
      </c>
      <c r="C135" s="18">
        <v>8312</v>
      </c>
      <c r="D135" s="18">
        <v>226755</v>
      </c>
      <c r="E135" s="18">
        <v>98316</v>
      </c>
      <c r="F135" s="18">
        <v>14716</v>
      </c>
      <c r="G135" s="18">
        <v>133258</v>
      </c>
      <c r="H135" s="18">
        <v>0</v>
      </c>
      <c r="I135" s="20">
        <v>0</v>
      </c>
      <c r="J135" s="18">
        <v>20750</v>
      </c>
      <c r="K135" s="18">
        <v>537169</v>
      </c>
    </row>
    <row r="136" spans="1:11">
      <c r="A136" s="23" t="s">
        <v>61</v>
      </c>
      <c r="B136" s="18">
        <v>34541</v>
      </c>
      <c r="C136" s="18">
        <v>10412</v>
      </c>
      <c r="D136" s="18">
        <v>229873</v>
      </c>
      <c r="E136" s="18">
        <v>96815</v>
      </c>
      <c r="F136" s="18">
        <v>15016</v>
      </c>
      <c r="G136" s="18">
        <v>132148</v>
      </c>
      <c r="H136" s="18">
        <v>0</v>
      </c>
      <c r="I136" s="20">
        <v>0</v>
      </c>
      <c r="J136" s="18">
        <v>23000</v>
      </c>
      <c r="K136" s="18">
        <v>541805</v>
      </c>
    </row>
    <row r="137" spans="1:11">
      <c r="A137" s="23" t="s">
        <v>51</v>
      </c>
      <c r="B137" s="18">
        <v>35424</v>
      </c>
      <c r="C137" s="18">
        <v>15198</v>
      </c>
      <c r="D137" s="18">
        <v>230275</v>
      </c>
      <c r="E137" s="18">
        <v>98184</v>
      </c>
      <c r="F137" s="18">
        <v>16340</v>
      </c>
      <c r="G137" s="18">
        <v>134685</v>
      </c>
      <c r="H137" s="18">
        <v>0</v>
      </c>
      <c r="I137" s="20">
        <v>0</v>
      </c>
      <c r="J137" s="18">
        <v>21200</v>
      </c>
      <c r="K137" s="18">
        <v>551306</v>
      </c>
    </row>
    <row r="138" spans="1:11" ht="13">
      <c r="A138" s="22">
        <v>2010</v>
      </c>
      <c r="B138" s="18"/>
      <c r="C138" s="18"/>
      <c r="D138" s="18"/>
      <c r="E138" s="18"/>
      <c r="F138" s="18"/>
      <c r="G138" s="18"/>
      <c r="H138" s="18"/>
      <c r="I138" s="20"/>
      <c r="J138" s="18"/>
      <c r="K138" s="18"/>
    </row>
    <row r="139" spans="1:11">
      <c r="A139" s="23" t="s">
        <v>52</v>
      </c>
      <c r="B139" s="18">
        <v>37390</v>
      </c>
      <c r="C139" s="18">
        <v>13880</v>
      </c>
      <c r="D139" s="18">
        <v>240259</v>
      </c>
      <c r="E139" s="18">
        <v>98494</v>
      </c>
      <c r="F139" s="18">
        <v>13346</v>
      </c>
      <c r="G139" s="18">
        <v>152662</v>
      </c>
      <c r="H139" s="18">
        <v>0</v>
      </c>
      <c r="I139" s="20">
        <v>0</v>
      </c>
      <c r="J139" s="20">
        <v>0</v>
      </c>
      <c r="K139" s="18">
        <f t="shared" ref="K139:K150" si="4">SUM(B139:J139)</f>
        <v>556031</v>
      </c>
    </row>
    <row r="140" spans="1:11">
      <c r="A140" s="23" t="s">
        <v>53</v>
      </c>
      <c r="B140" s="18">
        <v>35744</v>
      </c>
      <c r="C140" s="18">
        <v>12454</v>
      </c>
      <c r="D140" s="18">
        <v>243314</v>
      </c>
      <c r="E140" s="18">
        <v>98431</v>
      </c>
      <c r="F140" s="18">
        <v>14144</v>
      </c>
      <c r="G140" s="18">
        <v>157998</v>
      </c>
      <c r="H140" s="18">
        <v>0</v>
      </c>
      <c r="I140" s="20">
        <v>0</v>
      </c>
      <c r="J140" s="20">
        <v>0</v>
      </c>
      <c r="K140" s="18">
        <f t="shared" si="4"/>
        <v>562085</v>
      </c>
    </row>
    <row r="141" spans="1:11">
      <c r="A141" s="23" t="s">
        <v>54</v>
      </c>
      <c r="B141" s="18">
        <v>35005</v>
      </c>
      <c r="C141" s="18">
        <v>11850</v>
      </c>
      <c r="D141" s="18">
        <v>261141</v>
      </c>
      <c r="E141" s="18">
        <v>98472</v>
      </c>
      <c r="F141" s="18">
        <v>16228</v>
      </c>
      <c r="G141" s="18">
        <v>185772</v>
      </c>
      <c r="H141" s="18">
        <v>0</v>
      </c>
      <c r="I141" s="20">
        <v>0</v>
      </c>
      <c r="J141" s="20">
        <v>0</v>
      </c>
      <c r="K141" s="18">
        <f t="shared" si="4"/>
        <v>608468</v>
      </c>
    </row>
    <row r="142" spans="1:11">
      <c r="A142" s="23" t="s">
        <v>55</v>
      </c>
      <c r="B142" s="18">
        <v>35578</v>
      </c>
      <c r="C142" s="18">
        <v>14208</v>
      </c>
      <c r="D142" s="18">
        <v>241874</v>
      </c>
      <c r="E142" s="18">
        <v>114833</v>
      </c>
      <c r="F142" s="18">
        <v>17880</v>
      </c>
      <c r="G142" s="18">
        <v>178538</v>
      </c>
      <c r="H142" s="18">
        <v>0</v>
      </c>
      <c r="I142" s="20">
        <v>0</v>
      </c>
      <c r="J142" s="20">
        <v>0</v>
      </c>
      <c r="K142" s="18">
        <f t="shared" si="4"/>
        <v>602911</v>
      </c>
    </row>
    <row r="143" spans="1:11">
      <c r="A143" s="23" t="s">
        <v>56</v>
      </c>
      <c r="B143" s="18">
        <v>34533</v>
      </c>
      <c r="C143" s="18">
        <v>13086</v>
      </c>
      <c r="D143" s="18">
        <v>182149</v>
      </c>
      <c r="E143" s="18">
        <v>155675</v>
      </c>
      <c r="F143" s="18">
        <v>16598</v>
      </c>
      <c r="G143" s="18">
        <v>169720</v>
      </c>
      <c r="H143" s="18">
        <v>0</v>
      </c>
      <c r="I143" s="20">
        <v>0</v>
      </c>
      <c r="J143" s="20">
        <v>0</v>
      </c>
      <c r="K143" s="18">
        <f t="shared" si="4"/>
        <v>571761</v>
      </c>
    </row>
    <row r="144" spans="1:11">
      <c r="A144" s="23" t="s">
        <v>57</v>
      </c>
      <c r="B144" s="18">
        <v>34631</v>
      </c>
      <c r="C144" s="18">
        <v>13006</v>
      </c>
      <c r="D144" s="18">
        <v>187920</v>
      </c>
      <c r="E144" s="18">
        <v>162839</v>
      </c>
      <c r="F144" s="18">
        <v>15030</v>
      </c>
      <c r="G144" s="18">
        <v>181056</v>
      </c>
      <c r="H144" s="18">
        <v>0</v>
      </c>
      <c r="I144" s="20">
        <v>0</v>
      </c>
      <c r="J144" s="20">
        <v>0</v>
      </c>
      <c r="K144" s="18">
        <f t="shared" si="4"/>
        <v>594482</v>
      </c>
    </row>
    <row r="145" spans="1:11">
      <c r="A145" s="23" t="s">
        <v>58</v>
      </c>
      <c r="B145" s="18">
        <v>34649</v>
      </c>
      <c r="C145" s="18">
        <v>15983</v>
      </c>
      <c r="D145" s="18">
        <v>199703</v>
      </c>
      <c r="E145" s="18">
        <v>154720</v>
      </c>
      <c r="F145" s="18">
        <v>10188</v>
      </c>
      <c r="G145" s="18">
        <v>181286</v>
      </c>
      <c r="H145" s="18">
        <v>0</v>
      </c>
      <c r="I145" s="20">
        <v>0</v>
      </c>
      <c r="J145" s="20">
        <v>0</v>
      </c>
      <c r="K145" s="18">
        <f t="shared" si="4"/>
        <v>596529</v>
      </c>
    </row>
    <row r="146" spans="1:11">
      <c r="A146" s="23" t="s">
        <v>59</v>
      </c>
      <c r="B146" s="18">
        <v>36306</v>
      </c>
      <c r="C146" s="18">
        <v>16253</v>
      </c>
      <c r="D146" s="18">
        <v>204062</v>
      </c>
      <c r="E146" s="18">
        <v>155251</v>
      </c>
      <c r="F146" s="18">
        <v>11143</v>
      </c>
      <c r="G146" s="18">
        <v>167263</v>
      </c>
      <c r="H146" s="18">
        <v>0</v>
      </c>
      <c r="I146" s="20">
        <v>0</v>
      </c>
      <c r="J146" s="20">
        <v>0</v>
      </c>
      <c r="K146" s="18">
        <f t="shared" si="4"/>
        <v>590278</v>
      </c>
    </row>
    <row r="147" spans="1:11">
      <c r="A147" s="23" t="s">
        <v>67</v>
      </c>
      <c r="B147" s="18">
        <v>35687</v>
      </c>
      <c r="C147" s="18">
        <v>15312</v>
      </c>
      <c r="D147" s="18">
        <v>223127</v>
      </c>
      <c r="E147" s="18">
        <v>148736</v>
      </c>
      <c r="F147" s="18">
        <v>12153</v>
      </c>
      <c r="G147" s="18">
        <v>156949</v>
      </c>
      <c r="H147" s="18">
        <v>8400</v>
      </c>
      <c r="I147" s="20">
        <v>0</v>
      </c>
      <c r="J147" s="20">
        <v>0</v>
      </c>
      <c r="K147" s="18">
        <f t="shared" si="4"/>
        <v>600364</v>
      </c>
    </row>
    <row r="148" spans="1:11">
      <c r="A148" s="23" t="s">
        <v>60</v>
      </c>
      <c r="B148" s="18">
        <v>35558</v>
      </c>
      <c r="C148" s="18">
        <v>14994</v>
      </c>
      <c r="D148" s="18">
        <v>225542</v>
      </c>
      <c r="E148" s="18">
        <f>147796+2998</f>
        <v>150794</v>
      </c>
      <c r="F148" s="18">
        <f>-234+11073</f>
        <v>10839</v>
      </c>
      <c r="G148" s="18">
        <v>149123</v>
      </c>
      <c r="H148" s="18">
        <v>19000</v>
      </c>
      <c r="I148" s="20">
        <v>0</v>
      </c>
      <c r="J148" s="20">
        <v>0</v>
      </c>
      <c r="K148" s="18">
        <f t="shared" si="4"/>
        <v>605850</v>
      </c>
    </row>
    <row r="149" spans="1:11">
      <c r="A149" s="23" t="s">
        <v>61</v>
      </c>
      <c r="B149" s="18">
        <v>34514</v>
      </c>
      <c r="C149" s="18">
        <v>24260</v>
      </c>
      <c r="D149" s="18">
        <v>224220</v>
      </c>
      <c r="E149" s="18">
        <f>151263+2998</f>
        <v>154261</v>
      </c>
      <c r="F149" s="18">
        <f>-66+10364</f>
        <v>10298</v>
      </c>
      <c r="G149" s="18">
        <v>134395</v>
      </c>
      <c r="H149" s="18">
        <v>19000</v>
      </c>
      <c r="I149" s="20">
        <v>0</v>
      </c>
      <c r="J149" s="20">
        <v>0</v>
      </c>
      <c r="K149" s="18">
        <f t="shared" si="4"/>
        <v>600948</v>
      </c>
    </row>
    <row r="150" spans="1:11">
      <c r="A150" s="23" t="s">
        <v>51</v>
      </c>
      <c r="B150" s="18">
        <v>35737</v>
      </c>
      <c r="C150" s="18">
        <v>28866</v>
      </c>
      <c r="D150" s="18">
        <v>225638</v>
      </c>
      <c r="E150" s="18">
        <f>150861+2998</f>
        <v>153859</v>
      </c>
      <c r="F150" s="18">
        <f>-61+12327</f>
        <v>12266</v>
      </c>
      <c r="G150" s="18">
        <v>135190</v>
      </c>
      <c r="H150" s="18">
        <v>16600</v>
      </c>
      <c r="I150" s="20">
        <v>0</v>
      </c>
      <c r="J150" s="20">
        <v>0</v>
      </c>
      <c r="K150" s="18">
        <f t="shared" si="4"/>
        <v>608156</v>
      </c>
    </row>
    <row r="151" spans="1:11" ht="13">
      <c r="A151" s="22">
        <v>2011</v>
      </c>
      <c r="B151" s="18"/>
      <c r="C151" s="18"/>
      <c r="D151" s="18"/>
      <c r="E151" s="18"/>
      <c r="F151" s="18"/>
      <c r="G151" s="18"/>
      <c r="H151" s="18"/>
      <c r="I151" s="20"/>
      <c r="J151" s="18"/>
      <c r="K151" s="18"/>
    </row>
    <row r="152" spans="1:11">
      <c r="A152" s="23" t="s">
        <v>52</v>
      </c>
      <c r="B152" s="18">
        <v>37544</v>
      </c>
      <c r="C152" s="18">
        <v>42558</v>
      </c>
      <c r="D152" s="18">
        <v>220884</v>
      </c>
      <c r="E152" s="18">
        <f>151037+2998</f>
        <v>154035</v>
      </c>
      <c r="F152" s="18">
        <f>-282+9642</f>
        <v>9360</v>
      </c>
      <c r="G152" s="18">
        <v>139152</v>
      </c>
      <c r="H152" s="18">
        <v>0</v>
      </c>
      <c r="I152" s="20">
        <v>0</v>
      </c>
      <c r="J152" s="20">
        <v>0</v>
      </c>
      <c r="K152" s="18">
        <f>SUM(B152:J152)</f>
        <v>603533</v>
      </c>
    </row>
    <row r="153" spans="1:11">
      <c r="A153" s="23" t="s">
        <v>53</v>
      </c>
      <c r="B153" s="18">
        <v>34160</v>
      </c>
      <c r="C153" s="18">
        <v>39470</v>
      </c>
      <c r="D153" s="18">
        <v>220078</v>
      </c>
      <c r="E153" s="18">
        <f>152773+2998</f>
        <v>155771</v>
      </c>
      <c r="F153" s="18">
        <f>-392+11242</f>
        <v>10850</v>
      </c>
      <c r="G153" s="18">
        <v>154473</v>
      </c>
      <c r="H153" s="18">
        <v>0</v>
      </c>
      <c r="I153" s="20">
        <v>0</v>
      </c>
      <c r="J153" s="20">
        <v>0</v>
      </c>
      <c r="K153" s="18">
        <f t="shared" ref="K153:K157" si="5">SUM(B153:J153)</f>
        <v>614802</v>
      </c>
    </row>
    <row r="154" spans="1:11">
      <c r="A154" s="23" t="s">
        <v>54</v>
      </c>
      <c r="B154" s="18">
        <v>35034</v>
      </c>
      <c r="C154" s="18">
        <v>27489</v>
      </c>
      <c r="D154" s="18">
        <v>219429</v>
      </c>
      <c r="E154" s="18">
        <v>158055</v>
      </c>
      <c r="F154" s="18">
        <f>-259+11577</f>
        <v>11318</v>
      </c>
      <c r="G154" s="18">
        <v>193973</v>
      </c>
      <c r="H154" s="18">
        <v>0</v>
      </c>
      <c r="I154" s="20">
        <v>0</v>
      </c>
      <c r="J154" s="20">
        <v>0</v>
      </c>
      <c r="K154" s="18">
        <f t="shared" si="5"/>
        <v>645298</v>
      </c>
    </row>
    <row r="155" spans="1:11">
      <c r="A155" s="23" t="s">
        <v>55</v>
      </c>
      <c r="B155" s="18">
        <v>36069</v>
      </c>
      <c r="C155" s="18">
        <v>18060</v>
      </c>
      <c r="D155" s="18">
        <v>212786</v>
      </c>
      <c r="E155" s="18">
        <v>155468</v>
      </c>
      <c r="F155" s="18">
        <f>79+12464</f>
        <v>12543</v>
      </c>
      <c r="G155" s="18">
        <f>218716</f>
        <v>218716</v>
      </c>
      <c r="H155" s="18">
        <v>0</v>
      </c>
      <c r="I155" s="20">
        <v>0</v>
      </c>
      <c r="J155" s="20">
        <v>0</v>
      </c>
      <c r="K155" s="18">
        <f t="shared" si="5"/>
        <v>653642</v>
      </c>
    </row>
    <row r="156" spans="1:11">
      <c r="A156" s="23" t="s">
        <v>56</v>
      </c>
      <c r="B156" s="18">
        <v>35481</v>
      </c>
      <c r="C156" s="18">
        <v>23670</v>
      </c>
      <c r="D156" s="18">
        <v>221776</v>
      </c>
      <c r="E156" s="18">
        <v>149070</v>
      </c>
      <c r="F156" s="18">
        <f>-156+12808</f>
        <v>12652</v>
      </c>
      <c r="G156" s="18">
        <v>223888</v>
      </c>
      <c r="H156" s="18">
        <v>0</v>
      </c>
      <c r="I156" s="20">
        <v>0</v>
      </c>
      <c r="J156" s="20">
        <v>0</v>
      </c>
      <c r="K156" s="18">
        <f t="shared" si="5"/>
        <v>666537</v>
      </c>
    </row>
    <row r="157" spans="1:11">
      <c r="A157" s="23" t="s">
        <v>57</v>
      </c>
      <c r="B157" s="18">
        <v>34469</v>
      </c>
      <c r="C157" s="18">
        <v>23182</v>
      </c>
      <c r="D157" s="18">
        <v>233134</v>
      </c>
      <c r="E157" s="18">
        <v>150347</v>
      </c>
      <c r="F157" s="18">
        <f>-536+12756</f>
        <v>12220</v>
      </c>
      <c r="G157" s="18">
        <v>227539</v>
      </c>
      <c r="H157" s="18">
        <v>0</v>
      </c>
      <c r="I157" s="20">
        <v>0</v>
      </c>
      <c r="J157" s="20">
        <v>0</v>
      </c>
      <c r="K157" s="18">
        <f t="shared" si="5"/>
        <v>680891</v>
      </c>
    </row>
    <row r="158" spans="1:11">
      <c r="A158" s="23" t="s">
        <v>58</v>
      </c>
      <c r="B158" s="18">
        <v>36954</v>
      </c>
      <c r="C158" s="18">
        <v>23801</v>
      </c>
      <c r="D158" s="18">
        <v>237267</v>
      </c>
      <c r="E158" s="18">
        <v>154652</v>
      </c>
      <c r="F158" s="18">
        <f>-620+11282</f>
        <v>10662</v>
      </c>
      <c r="G158" s="18">
        <v>246913</v>
      </c>
      <c r="H158" s="18">
        <v>0</v>
      </c>
      <c r="I158" s="20">
        <v>0</v>
      </c>
      <c r="J158" s="20">
        <v>0</v>
      </c>
      <c r="K158" s="18">
        <f>SUM(B158:G158)</f>
        <v>710249</v>
      </c>
    </row>
    <row r="159" spans="1:11">
      <c r="A159" s="23" t="s">
        <v>59</v>
      </c>
      <c r="B159" s="18">
        <v>35826</v>
      </c>
      <c r="C159" s="18">
        <v>19792</v>
      </c>
      <c r="D159" s="18">
        <v>254152</v>
      </c>
      <c r="E159" s="18">
        <v>151458</v>
      </c>
      <c r="F159" s="18">
        <f>-485+11653</f>
        <v>11168</v>
      </c>
      <c r="G159" s="18">
        <v>237206</v>
      </c>
      <c r="H159" s="18">
        <v>0</v>
      </c>
      <c r="I159" s="20">
        <v>0</v>
      </c>
      <c r="J159" s="20">
        <v>0</v>
      </c>
      <c r="K159" s="18">
        <f>SUM(B159:G159)</f>
        <v>709602</v>
      </c>
    </row>
    <row r="160" spans="1:11">
      <c r="A160" s="23" t="s">
        <v>67</v>
      </c>
      <c r="B160" s="18">
        <v>37103</v>
      </c>
      <c r="C160" s="18">
        <v>13730</v>
      </c>
      <c r="D160" s="18">
        <v>271202</v>
      </c>
      <c r="E160" s="18">
        <v>151440</v>
      </c>
      <c r="F160" s="18">
        <f>-582+10667</f>
        <v>10085</v>
      </c>
      <c r="G160" s="18">
        <v>217823</v>
      </c>
      <c r="H160" s="18">
        <v>0</v>
      </c>
      <c r="I160" s="20">
        <v>0</v>
      </c>
      <c r="J160" s="20">
        <v>0</v>
      </c>
      <c r="K160" s="18">
        <f>SUM(B160:G160)</f>
        <v>701383</v>
      </c>
    </row>
    <row r="161" spans="1:13">
      <c r="A161" s="23" t="s">
        <v>60</v>
      </c>
      <c r="B161" s="18">
        <v>36594</v>
      </c>
      <c r="C161" s="18">
        <v>19052</v>
      </c>
      <c r="D161" s="18">
        <v>290370</v>
      </c>
      <c r="E161" s="18">
        <v>139986</v>
      </c>
      <c r="F161" s="18">
        <f>-628+12459</f>
        <v>11831</v>
      </c>
      <c r="G161" s="18">
        <v>191804</v>
      </c>
      <c r="H161" s="18">
        <v>10000</v>
      </c>
      <c r="I161" s="20">
        <v>0</v>
      </c>
      <c r="J161" s="20">
        <v>0</v>
      </c>
      <c r="K161" s="18">
        <f>SUM(B161:H161)</f>
        <v>699637</v>
      </c>
    </row>
    <row r="162" spans="1:13">
      <c r="A162" s="23" t="s">
        <v>61</v>
      </c>
      <c r="B162" s="18">
        <v>34790</v>
      </c>
      <c r="C162" s="18">
        <v>17693</v>
      </c>
      <c r="D162" s="18">
        <v>285355</v>
      </c>
      <c r="E162" s="18">
        <v>147218</v>
      </c>
      <c r="F162" s="18">
        <f>-594+10403</f>
        <v>9809</v>
      </c>
      <c r="G162" s="18">
        <v>189363</v>
      </c>
      <c r="H162" s="18">
        <v>10000</v>
      </c>
      <c r="I162" s="20">
        <v>0</v>
      </c>
      <c r="J162" s="20">
        <v>0</v>
      </c>
      <c r="K162" s="18">
        <f>SUM(B162:H162)</f>
        <v>694228</v>
      </c>
    </row>
    <row r="163" spans="1:13">
      <c r="A163" s="23" t="s">
        <v>51</v>
      </c>
      <c r="B163" s="18">
        <v>36003</v>
      </c>
      <c r="C163" s="18">
        <v>21899</v>
      </c>
      <c r="D163" s="18">
        <v>268404</v>
      </c>
      <c r="E163" s="18">
        <v>156898</v>
      </c>
      <c r="F163" s="18">
        <f>-520+13999</f>
        <v>13479</v>
      </c>
      <c r="G163" s="18">
        <v>194643</v>
      </c>
      <c r="H163" s="18">
        <v>2500</v>
      </c>
      <c r="I163" s="20">
        <v>0</v>
      </c>
      <c r="J163" s="20">
        <v>0</v>
      </c>
      <c r="K163" s="18">
        <f>SUM(B163:H163)</f>
        <v>693826</v>
      </c>
    </row>
    <row r="164" spans="1:13" ht="18" customHeight="1">
      <c r="A164" s="22">
        <v>2012</v>
      </c>
      <c r="B164" s="18"/>
      <c r="C164" s="18"/>
      <c r="D164" s="18"/>
      <c r="E164" s="18"/>
      <c r="F164" s="18"/>
      <c r="G164" s="18"/>
      <c r="H164" s="18"/>
      <c r="I164" s="20"/>
      <c r="J164" s="18"/>
      <c r="K164" s="18"/>
    </row>
    <row r="165" spans="1:13">
      <c r="A165" s="23" t="s">
        <v>52</v>
      </c>
      <c r="B165" s="18">
        <v>39279</v>
      </c>
      <c r="C165" s="18">
        <v>24455</v>
      </c>
      <c r="D165" s="18">
        <v>263292</v>
      </c>
      <c r="E165" s="18">
        <f>148389</f>
        <v>148389</v>
      </c>
      <c r="F165" s="18">
        <f>-531+12709</f>
        <v>12178</v>
      </c>
      <c r="G165" s="18">
        <v>198565</v>
      </c>
      <c r="H165" s="18">
        <v>0</v>
      </c>
      <c r="I165" s="20">
        <v>0</v>
      </c>
      <c r="J165" s="20">
        <v>0</v>
      </c>
      <c r="K165" s="18">
        <f>SUM(B165:J165)</f>
        <v>686158</v>
      </c>
    </row>
    <row r="166" spans="1:13">
      <c r="A166" s="23" t="s">
        <v>53</v>
      </c>
      <c r="B166" s="18">
        <v>33855</v>
      </c>
      <c r="C166" s="18">
        <v>22821</v>
      </c>
      <c r="D166" s="18">
        <v>270939</v>
      </c>
      <c r="E166" s="18">
        <v>150226</v>
      </c>
      <c r="F166" s="18">
        <f>-735+13902</f>
        <v>13167</v>
      </c>
      <c r="G166" s="18">
        <v>210220</v>
      </c>
      <c r="H166" s="18">
        <v>0</v>
      </c>
      <c r="I166" s="20">
        <v>0</v>
      </c>
      <c r="J166" s="20">
        <v>0</v>
      </c>
      <c r="K166" s="18">
        <f t="shared" ref="K166" si="6">SUM(B166:J166)</f>
        <v>701228</v>
      </c>
    </row>
    <row r="167" spans="1:13">
      <c r="A167" s="23" t="s">
        <v>54</v>
      </c>
      <c r="B167" s="18">
        <v>34886</v>
      </c>
      <c r="C167" s="18">
        <v>22388</v>
      </c>
      <c r="D167" s="18">
        <v>286690</v>
      </c>
      <c r="E167" s="18">
        <f>151917+0</f>
        <v>151917</v>
      </c>
      <c r="F167" s="18">
        <f>-688+14884</f>
        <v>14196</v>
      </c>
      <c r="G167" s="18">
        <v>250074</v>
      </c>
      <c r="H167" s="18">
        <v>0</v>
      </c>
      <c r="I167" s="20">
        <v>0</v>
      </c>
      <c r="J167" s="20">
        <v>0</v>
      </c>
      <c r="K167" s="18">
        <f t="shared" ref="K167:K171" si="7">SUM(B167:J167)</f>
        <v>760151</v>
      </c>
    </row>
    <row r="168" spans="1:13">
      <c r="A168" s="23" t="s">
        <v>55</v>
      </c>
      <c r="B168" s="18">
        <v>38996</v>
      </c>
      <c r="C168" s="18">
        <v>21622</v>
      </c>
      <c r="D168" s="18">
        <v>278145</v>
      </c>
      <c r="E168" s="18">
        <v>153863</v>
      </c>
      <c r="F168" s="18">
        <f>-802+16129</f>
        <v>15327</v>
      </c>
      <c r="G168" s="18">
        <v>265820</v>
      </c>
      <c r="H168" s="18">
        <v>0</v>
      </c>
      <c r="I168" s="20">
        <v>0</v>
      </c>
      <c r="J168" s="20">
        <v>0</v>
      </c>
      <c r="K168" s="18">
        <f t="shared" si="7"/>
        <v>773773</v>
      </c>
    </row>
    <row r="169" spans="1:13">
      <c r="A169" s="23" t="s">
        <v>56</v>
      </c>
      <c r="B169" s="18">
        <v>38433</v>
      </c>
      <c r="C169" s="18">
        <v>19911</v>
      </c>
      <c r="D169" s="18">
        <v>286983</v>
      </c>
      <c r="E169" s="18">
        <v>148769</v>
      </c>
      <c r="F169" s="18">
        <f>-642+14174</f>
        <v>13532</v>
      </c>
      <c r="G169" s="18">
        <v>282617</v>
      </c>
      <c r="H169" s="18">
        <v>0</v>
      </c>
      <c r="I169" s="20">
        <v>0</v>
      </c>
      <c r="J169" s="20">
        <v>0</v>
      </c>
      <c r="K169" s="18">
        <f t="shared" si="7"/>
        <v>790245</v>
      </c>
    </row>
    <row r="170" spans="1:13">
      <c r="A170" s="23" t="s">
        <v>57</v>
      </c>
      <c r="B170" s="18">
        <v>38138</v>
      </c>
      <c r="C170" s="18">
        <v>19858</v>
      </c>
      <c r="D170" s="18">
        <v>291734</v>
      </c>
      <c r="E170" s="18">
        <v>152348</v>
      </c>
      <c r="F170" s="18">
        <f>10365-889</f>
        <v>9476</v>
      </c>
      <c r="G170" s="18">
        <v>258615</v>
      </c>
      <c r="H170" s="18">
        <v>0</v>
      </c>
      <c r="I170" s="20">
        <v>0</v>
      </c>
      <c r="J170" s="20">
        <v>0</v>
      </c>
      <c r="K170" s="18">
        <f t="shared" si="7"/>
        <v>770169</v>
      </c>
    </row>
    <row r="171" spans="1:13">
      <c r="A171" s="23" t="s">
        <v>58</v>
      </c>
      <c r="B171" s="18">
        <v>38343</v>
      </c>
      <c r="C171" s="18">
        <v>22562</v>
      </c>
      <c r="D171" s="18">
        <v>304360</v>
      </c>
      <c r="E171" s="18">
        <v>153328</v>
      </c>
      <c r="F171" s="18">
        <f>-716+11927</f>
        <v>11211</v>
      </c>
      <c r="G171" s="18">
        <v>249770</v>
      </c>
      <c r="H171" s="18">
        <v>0</v>
      </c>
      <c r="I171" s="20">
        <v>0</v>
      </c>
      <c r="J171" s="20">
        <v>0</v>
      </c>
      <c r="K171" s="18">
        <f t="shared" si="7"/>
        <v>779574</v>
      </c>
    </row>
    <row r="172" spans="1:13">
      <c r="A172" s="23" t="s">
        <v>59</v>
      </c>
      <c r="B172" s="18">
        <v>36714</v>
      </c>
      <c r="C172" s="18">
        <v>24647</v>
      </c>
      <c r="D172" s="18">
        <v>304664</v>
      </c>
      <c r="E172" s="18">
        <f>173155+637</f>
        <v>173792</v>
      </c>
      <c r="F172" s="18">
        <f>-575+9129</f>
        <v>8554</v>
      </c>
      <c r="G172" s="18">
        <v>215043</v>
      </c>
      <c r="H172" s="18">
        <v>0</v>
      </c>
      <c r="I172" s="20">
        <v>0</v>
      </c>
      <c r="J172" s="20">
        <v>0</v>
      </c>
      <c r="K172" s="18">
        <f>SUM(B172:J172)</f>
        <v>763414</v>
      </c>
    </row>
    <row r="173" spans="1:13">
      <c r="A173" s="23" t="s">
        <v>67</v>
      </c>
      <c r="B173" s="18">
        <v>38723</v>
      </c>
      <c r="C173" s="18">
        <v>20748</v>
      </c>
      <c r="D173" s="18">
        <v>316379</v>
      </c>
      <c r="E173" s="18">
        <f>173163+637</f>
        <v>173800</v>
      </c>
      <c r="F173" s="18">
        <f>-698+10523</f>
        <v>9825</v>
      </c>
      <c r="G173" s="18">
        <v>189014</v>
      </c>
      <c r="H173" s="18">
        <v>2500</v>
      </c>
      <c r="I173" s="20">
        <v>0</v>
      </c>
      <c r="J173" s="20">
        <v>0</v>
      </c>
      <c r="K173" s="18">
        <f>SUM(B173:J173)</f>
        <v>750989</v>
      </c>
    </row>
    <row r="174" spans="1:13">
      <c r="A174" s="23" t="s">
        <v>60</v>
      </c>
      <c r="B174" s="18">
        <v>39452</v>
      </c>
      <c r="C174" s="18">
        <v>18541</v>
      </c>
      <c r="D174" s="18">
        <v>321658</v>
      </c>
      <c r="E174" s="18">
        <f>172219+637</f>
        <v>172856</v>
      </c>
      <c r="F174" s="18">
        <f>-498+9707</f>
        <v>9209</v>
      </c>
      <c r="G174" s="18">
        <v>177747</v>
      </c>
      <c r="H174" s="18">
        <v>10000</v>
      </c>
      <c r="I174" s="20">
        <v>0</v>
      </c>
      <c r="J174" s="20">
        <v>0</v>
      </c>
      <c r="K174" s="18">
        <f>SUM(B174:J174)</f>
        <v>749463</v>
      </c>
      <c r="L174" s="26"/>
    </row>
    <row r="175" spans="1:13">
      <c r="A175" s="23" t="s">
        <v>61</v>
      </c>
      <c r="B175" s="18">
        <v>39588</v>
      </c>
      <c r="C175" s="18">
        <v>21435</v>
      </c>
      <c r="D175" s="18">
        <v>334926</v>
      </c>
      <c r="E175" s="18">
        <f>173198+637</f>
        <v>173835</v>
      </c>
      <c r="F175" s="18">
        <f>-515+11348</f>
        <v>10833</v>
      </c>
      <c r="G175" s="18">
        <v>195744</v>
      </c>
      <c r="H175" s="18">
        <v>10000</v>
      </c>
      <c r="I175" s="20">
        <v>0</v>
      </c>
      <c r="J175" s="20">
        <v>0</v>
      </c>
      <c r="K175" s="18">
        <f>SUM(B175:J175)</f>
        <v>786361</v>
      </c>
      <c r="L175" s="26"/>
    </row>
    <row r="176" spans="1:13">
      <c r="A176" s="23" t="s">
        <v>51</v>
      </c>
      <c r="B176" s="18">
        <v>40496</v>
      </c>
      <c r="C176" s="18">
        <v>28445</v>
      </c>
      <c r="D176" s="18">
        <v>338638</v>
      </c>
      <c r="E176" s="18">
        <f>173233+637</f>
        <v>173870</v>
      </c>
      <c r="F176" s="18">
        <f>-284+14631</f>
        <v>14347</v>
      </c>
      <c r="G176" s="18">
        <v>220063</v>
      </c>
      <c r="H176" s="18">
        <v>0</v>
      </c>
      <c r="I176" s="20">
        <v>0</v>
      </c>
      <c r="J176" s="20">
        <v>0</v>
      </c>
      <c r="K176" s="18">
        <f>SUM(B176:J176)</f>
        <v>815859</v>
      </c>
      <c r="L176" s="26"/>
      <c r="M176" s="26"/>
    </row>
    <row r="177" spans="1:13" s="16" customFormat="1" ht="16.5" customHeight="1">
      <c r="A177" s="22">
        <v>2013</v>
      </c>
      <c r="B177" s="18"/>
      <c r="C177" s="18"/>
      <c r="D177" s="18"/>
      <c r="E177" s="18"/>
      <c r="F177" s="18"/>
      <c r="G177" s="18"/>
      <c r="H177" s="18"/>
      <c r="I177" s="20"/>
      <c r="J177" s="18"/>
      <c r="K177" s="18"/>
      <c r="L177" s="1"/>
    </row>
    <row r="178" spans="1:13" ht="13.5" customHeight="1">
      <c r="A178" s="23" t="s">
        <v>52</v>
      </c>
      <c r="B178" s="18">
        <v>44202</v>
      </c>
      <c r="C178" s="18">
        <v>31880</v>
      </c>
      <c r="D178" s="18">
        <v>336525</v>
      </c>
      <c r="E178" s="18">
        <f>173247+637</f>
        <v>173884</v>
      </c>
      <c r="F178" s="18">
        <f>-630+14198</f>
        <v>13568</v>
      </c>
      <c r="G178" s="18">
        <v>237157</v>
      </c>
      <c r="H178" s="18">
        <v>0</v>
      </c>
      <c r="I178" s="20">
        <v>0</v>
      </c>
      <c r="J178" s="18">
        <v>0</v>
      </c>
      <c r="K178" s="18">
        <f t="shared" ref="K178:K189" si="8">SUM(B178:J178)</f>
        <v>837216</v>
      </c>
    </row>
    <row r="179" spans="1:13">
      <c r="A179" s="23" t="s">
        <v>53</v>
      </c>
      <c r="B179" s="18">
        <v>41312</v>
      </c>
      <c r="C179" s="18">
        <v>26932</v>
      </c>
      <c r="D179" s="18">
        <v>352472</v>
      </c>
      <c r="E179" s="18">
        <v>172883</v>
      </c>
      <c r="F179" s="18">
        <f>-691+14912</f>
        <v>14221</v>
      </c>
      <c r="G179" s="18">
        <v>240575</v>
      </c>
      <c r="H179" s="18">
        <v>0</v>
      </c>
      <c r="I179" s="20">
        <v>0</v>
      </c>
      <c r="J179" s="18">
        <v>0</v>
      </c>
      <c r="K179" s="18">
        <f t="shared" si="8"/>
        <v>848395</v>
      </c>
    </row>
    <row r="180" spans="1:13">
      <c r="A180" s="23" t="s">
        <v>54</v>
      </c>
      <c r="B180" s="18">
        <v>41936</v>
      </c>
      <c r="C180" s="18">
        <v>26803</v>
      </c>
      <c r="D180" s="18">
        <v>363488</v>
      </c>
      <c r="E180" s="18">
        <v>171016</v>
      </c>
      <c r="F180" s="18">
        <f>-824+18335</f>
        <v>17511</v>
      </c>
      <c r="G180" s="18">
        <v>268024</v>
      </c>
      <c r="H180" s="18">
        <v>0</v>
      </c>
      <c r="I180" s="20">
        <v>0</v>
      </c>
      <c r="J180" s="18">
        <v>0</v>
      </c>
      <c r="K180" s="18">
        <f t="shared" si="8"/>
        <v>888778</v>
      </c>
    </row>
    <row r="181" spans="1:13">
      <c r="A181" s="23" t="s">
        <v>55</v>
      </c>
      <c r="B181" s="18">
        <v>43378</v>
      </c>
      <c r="C181" s="18">
        <v>29560</v>
      </c>
      <c r="D181" s="18">
        <v>365362</v>
      </c>
      <c r="E181" s="18">
        <v>170445</v>
      </c>
      <c r="F181" s="18">
        <f>-845+18598</f>
        <v>17753</v>
      </c>
      <c r="G181" s="18">
        <v>269566</v>
      </c>
      <c r="H181" s="18">
        <v>0</v>
      </c>
      <c r="I181" s="20">
        <v>0</v>
      </c>
      <c r="J181" s="18">
        <v>0</v>
      </c>
      <c r="K181" s="18">
        <f t="shared" si="8"/>
        <v>896064</v>
      </c>
    </row>
    <row r="182" spans="1:13">
      <c r="A182" s="23" t="s">
        <v>56</v>
      </c>
      <c r="B182" s="18">
        <v>40703</v>
      </c>
      <c r="C182" s="18">
        <v>30537</v>
      </c>
      <c r="D182" s="18">
        <v>368831</v>
      </c>
      <c r="E182" s="18">
        <v>168481</v>
      </c>
      <c r="F182" s="18">
        <f>-824+18714</f>
        <v>17890</v>
      </c>
      <c r="G182" s="18">
        <v>254557</v>
      </c>
      <c r="H182" s="18">
        <v>0</v>
      </c>
      <c r="I182" s="20">
        <v>0</v>
      </c>
      <c r="J182" s="18">
        <v>0</v>
      </c>
      <c r="K182" s="18">
        <f t="shared" si="8"/>
        <v>880999</v>
      </c>
    </row>
    <row r="183" spans="1:13">
      <c r="A183" s="23" t="s">
        <v>57</v>
      </c>
      <c r="B183" s="18">
        <v>42801</v>
      </c>
      <c r="C183" s="18">
        <v>19981</v>
      </c>
      <c r="D183" s="18">
        <v>369547</v>
      </c>
      <c r="E183" s="18">
        <v>170443</v>
      </c>
      <c r="F183" s="18">
        <f>-674+17632</f>
        <v>16958</v>
      </c>
      <c r="G183" s="18">
        <v>263947</v>
      </c>
      <c r="H183" s="18">
        <v>0</v>
      </c>
      <c r="I183" s="20">
        <v>0</v>
      </c>
      <c r="J183" s="18">
        <v>0</v>
      </c>
      <c r="K183" s="18">
        <f t="shared" si="8"/>
        <v>883677</v>
      </c>
    </row>
    <row r="184" spans="1:13">
      <c r="A184" s="23" t="s">
        <v>58</v>
      </c>
      <c r="B184" s="18">
        <v>42149</v>
      </c>
      <c r="C184" s="18">
        <v>22971</v>
      </c>
      <c r="D184" s="18">
        <v>383907</v>
      </c>
      <c r="E184" s="18">
        <v>170497</v>
      </c>
      <c r="F184" s="18">
        <f>-650+16027</f>
        <v>15377</v>
      </c>
      <c r="G184" s="18">
        <v>262095</v>
      </c>
      <c r="H184" s="18">
        <v>0</v>
      </c>
      <c r="I184" s="20">
        <v>0</v>
      </c>
      <c r="J184" s="18">
        <v>0</v>
      </c>
      <c r="K184" s="18">
        <f t="shared" si="8"/>
        <v>896996</v>
      </c>
    </row>
    <row r="185" spans="1:13">
      <c r="A185" s="23" t="s">
        <v>59</v>
      </c>
      <c r="B185" s="18">
        <v>42391</v>
      </c>
      <c r="C185" s="18">
        <v>21233</v>
      </c>
      <c r="D185" s="18">
        <v>391922</v>
      </c>
      <c r="E185" s="18">
        <v>165135</v>
      </c>
      <c r="F185" s="18">
        <f>-366+15056</f>
        <v>14690</v>
      </c>
      <c r="G185" s="18">
        <v>242340</v>
      </c>
      <c r="H185" s="18">
        <v>0</v>
      </c>
      <c r="I185" s="20">
        <v>0</v>
      </c>
      <c r="J185" s="18">
        <v>0</v>
      </c>
      <c r="K185" s="18">
        <f t="shared" si="8"/>
        <v>877711</v>
      </c>
    </row>
    <row r="186" spans="1:13">
      <c r="A186" s="23" t="s">
        <v>67</v>
      </c>
      <c r="B186" s="18">
        <v>42866</v>
      </c>
      <c r="C186" s="18">
        <v>20043</v>
      </c>
      <c r="D186" s="18">
        <v>388630</v>
      </c>
      <c r="E186" s="18">
        <v>166389</v>
      </c>
      <c r="F186" s="18">
        <f>-464+15390</f>
        <v>14926</v>
      </c>
      <c r="G186" s="18">
        <v>213346</v>
      </c>
      <c r="H186" s="18">
        <v>0</v>
      </c>
      <c r="I186" s="20">
        <v>0</v>
      </c>
      <c r="J186" s="18">
        <v>0</v>
      </c>
      <c r="K186" s="18">
        <f t="shared" si="8"/>
        <v>846200</v>
      </c>
    </row>
    <row r="187" spans="1:13">
      <c r="A187" s="23" t="s">
        <v>60</v>
      </c>
      <c r="B187" s="18">
        <v>41284</v>
      </c>
      <c r="C187" s="18">
        <v>19154</v>
      </c>
      <c r="D187" s="18">
        <v>402283</v>
      </c>
      <c r="E187" s="18">
        <v>162586</v>
      </c>
      <c r="F187" s="18">
        <f>-358+17622</f>
        <v>17264</v>
      </c>
      <c r="G187" s="18">
        <v>181288</v>
      </c>
      <c r="H187" s="18">
        <v>0</v>
      </c>
      <c r="I187" s="20">
        <v>0</v>
      </c>
      <c r="J187" s="18">
        <v>0</v>
      </c>
      <c r="K187" s="18">
        <f t="shared" si="8"/>
        <v>823859</v>
      </c>
      <c r="L187" s="26"/>
    </row>
    <row r="188" spans="1:13">
      <c r="A188" s="23" t="s">
        <v>61</v>
      </c>
      <c r="B188" s="18">
        <v>43846</v>
      </c>
      <c r="C188" s="18">
        <v>22667</v>
      </c>
      <c r="D188" s="18">
        <v>398927</v>
      </c>
      <c r="E188" s="18">
        <v>161444</v>
      </c>
      <c r="F188" s="18">
        <f>2004+12233</f>
        <v>14237</v>
      </c>
      <c r="G188" s="18">
        <v>157426</v>
      </c>
      <c r="H188" s="18">
        <v>0</v>
      </c>
      <c r="I188" s="20">
        <v>0</v>
      </c>
      <c r="J188" s="18">
        <v>0</v>
      </c>
      <c r="K188" s="18">
        <f t="shared" si="8"/>
        <v>798547</v>
      </c>
      <c r="L188" s="26"/>
    </row>
    <row r="189" spans="1:13">
      <c r="A189" s="23" t="s">
        <v>51</v>
      </c>
      <c r="B189" s="18">
        <v>43636</v>
      </c>
      <c r="C189" s="18">
        <v>31023</v>
      </c>
      <c r="D189" s="18">
        <v>401052</v>
      </c>
      <c r="E189" s="18">
        <v>165618</v>
      </c>
      <c r="F189" s="18">
        <f>14112+639</f>
        <v>14751</v>
      </c>
      <c r="G189" s="18">
        <v>159135</v>
      </c>
      <c r="H189" s="18">
        <v>0</v>
      </c>
      <c r="I189" s="20">
        <v>0</v>
      </c>
      <c r="J189" s="18">
        <v>0</v>
      </c>
      <c r="K189" s="18">
        <f t="shared" si="8"/>
        <v>815215</v>
      </c>
      <c r="L189" s="26"/>
      <c r="M189" s="25"/>
    </row>
    <row r="190" spans="1:13" ht="15" customHeight="1">
      <c r="A190" s="22" t="s">
        <v>50</v>
      </c>
      <c r="B190" s="18"/>
      <c r="C190" s="18"/>
      <c r="D190" s="18"/>
      <c r="E190" s="18"/>
      <c r="F190" s="18"/>
      <c r="G190" s="18"/>
      <c r="H190" s="18"/>
      <c r="I190" s="20"/>
      <c r="J190" s="18"/>
      <c r="K190" s="18"/>
    </row>
    <row r="191" spans="1:13">
      <c r="A191" s="23" t="s">
        <v>52</v>
      </c>
      <c r="B191" s="18">
        <v>48256</v>
      </c>
      <c r="C191" s="18">
        <v>25192</v>
      </c>
      <c r="D191" s="18">
        <v>400936</v>
      </c>
      <c r="E191" s="18">
        <v>168870</v>
      </c>
      <c r="F191" s="18">
        <f>-592+13058</f>
        <v>12466</v>
      </c>
      <c r="G191" s="18">
        <v>181716</v>
      </c>
      <c r="H191" s="18">
        <v>0</v>
      </c>
      <c r="I191" s="20">
        <v>0</v>
      </c>
      <c r="J191" s="18">
        <v>0</v>
      </c>
      <c r="K191" s="18">
        <f t="shared" ref="K191:K205" si="9">SUM(B191:J191)</f>
        <v>837436</v>
      </c>
    </row>
    <row r="192" spans="1:13">
      <c r="A192" s="23" t="s">
        <v>53</v>
      </c>
      <c r="B192" s="18">
        <v>45515</v>
      </c>
      <c r="C192" s="18">
        <v>23326</v>
      </c>
      <c r="D192" s="18">
        <v>408877</v>
      </c>
      <c r="E192" s="18">
        <v>161822</v>
      </c>
      <c r="F192" s="18">
        <f>-361+12884</f>
        <v>12523</v>
      </c>
      <c r="G192" s="18">
        <v>204919</v>
      </c>
      <c r="H192" s="18">
        <v>0</v>
      </c>
      <c r="I192" s="20">
        <v>0</v>
      </c>
      <c r="J192" s="18">
        <v>0</v>
      </c>
      <c r="K192" s="18">
        <f t="shared" si="9"/>
        <v>856982</v>
      </c>
    </row>
    <row r="193" spans="1:13">
      <c r="A193" s="23" t="s">
        <v>54</v>
      </c>
      <c r="B193" s="18">
        <v>44993</v>
      </c>
      <c r="C193" s="18">
        <v>22663</v>
      </c>
      <c r="D193" s="18">
        <v>442951</v>
      </c>
      <c r="E193" s="18">
        <v>161367</v>
      </c>
      <c r="F193" s="18">
        <v>14039</v>
      </c>
      <c r="G193" s="18">
        <v>220751</v>
      </c>
      <c r="H193" s="18">
        <v>0</v>
      </c>
      <c r="I193" s="20">
        <v>0</v>
      </c>
      <c r="J193" s="18">
        <v>0</v>
      </c>
      <c r="K193" s="18">
        <f t="shared" si="9"/>
        <v>906764</v>
      </c>
    </row>
    <row r="194" spans="1:13">
      <c r="A194" s="23" t="s">
        <v>55</v>
      </c>
      <c r="B194" s="18">
        <v>44185</v>
      </c>
      <c r="C194" s="18">
        <v>19593</v>
      </c>
      <c r="D194" s="18">
        <v>441086</v>
      </c>
      <c r="E194" s="18">
        <v>155515</v>
      </c>
      <c r="F194" s="18">
        <v>18431</v>
      </c>
      <c r="G194" s="18">
        <v>220084</v>
      </c>
      <c r="H194" s="18">
        <v>0</v>
      </c>
      <c r="I194" s="20">
        <v>0</v>
      </c>
      <c r="J194" s="18">
        <v>0</v>
      </c>
      <c r="K194" s="18">
        <f t="shared" si="9"/>
        <v>898894</v>
      </c>
    </row>
    <row r="195" spans="1:13">
      <c r="A195" s="23" t="s">
        <v>56</v>
      </c>
      <c r="B195" s="18">
        <v>45759</v>
      </c>
      <c r="C195" s="18">
        <v>22817</v>
      </c>
      <c r="D195" s="18">
        <v>433123</v>
      </c>
      <c r="E195" s="18">
        <v>150282</v>
      </c>
      <c r="F195" s="18">
        <v>16134</v>
      </c>
      <c r="G195" s="18">
        <v>239205</v>
      </c>
      <c r="H195" s="18">
        <v>0</v>
      </c>
      <c r="I195" s="20">
        <v>0</v>
      </c>
      <c r="J195" s="18">
        <v>0</v>
      </c>
      <c r="K195" s="18">
        <f t="shared" si="9"/>
        <v>907320</v>
      </c>
    </row>
    <row r="196" spans="1:13">
      <c r="A196" s="23" t="s">
        <v>57</v>
      </c>
      <c r="B196" s="18">
        <v>45102</v>
      </c>
      <c r="C196" s="18">
        <v>22117</v>
      </c>
      <c r="D196" s="18">
        <v>455065</v>
      </c>
      <c r="E196" s="18">
        <v>146837</v>
      </c>
      <c r="F196" s="18">
        <f>-646+14533</f>
        <v>13887</v>
      </c>
      <c r="G196" s="18">
        <v>234848</v>
      </c>
      <c r="H196" s="18">
        <v>0</v>
      </c>
      <c r="I196" s="20">
        <v>0</v>
      </c>
      <c r="J196" s="18">
        <v>0</v>
      </c>
      <c r="K196" s="18">
        <f t="shared" si="9"/>
        <v>917856</v>
      </c>
    </row>
    <row r="197" spans="1:13">
      <c r="A197" s="23" t="s">
        <v>58</v>
      </c>
      <c r="B197" s="18">
        <v>44928</v>
      </c>
      <c r="C197" s="18">
        <v>21394</v>
      </c>
      <c r="D197" s="18">
        <v>469256</v>
      </c>
      <c r="E197" s="18">
        <v>155955</v>
      </c>
      <c r="F197" s="18">
        <f>-413+14120</f>
        <v>13707</v>
      </c>
      <c r="G197" s="18">
        <v>220667</v>
      </c>
      <c r="H197" s="18">
        <v>0</v>
      </c>
      <c r="I197" s="20">
        <v>0</v>
      </c>
      <c r="J197" s="18">
        <v>0</v>
      </c>
      <c r="K197" s="18">
        <f t="shared" si="9"/>
        <v>925907</v>
      </c>
    </row>
    <row r="198" spans="1:13">
      <c r="A198" s="23" t="s">
        <v>59</v>
      </c>
      <c r="B198" s="18">
        <v>44795</v>
      </c>
      <c r="C198" s="18">
        <v>22229</v>
      </c>
      <c r="D198" s="18">
        <v>476429</v>
      </c>
      <c r="E198" s="18">
        <v>171487</v>
      </c>
      <c r="F198" s="18">
        <f>-392+14708</f>
        <v>14316</v>
      </c>
      <c r="G198" s="18">
        <v>198595</v>
      </c>
      <c r="H198" s="18">
        <v>0</v>
      </c>
      <c r="I198" s="20">
        <v>0</v>
      </c>
      <c r="J198" s="18">
        <v>0</v>
      </c>
      <c r="K198" s="18">
        <f t="shared" si="9"/>
        <v>927851</v>
      </c>
    </row>
    <row r="199" spans="1:13">
      <c r="A199" s="23" t="s">
        <v>67</v>
      </c>
      <c r="B199" s="18">
        <v>44950</v>
      </c>
      <c r="C199" s="18">
        <v>17779</v>
      </c>
      <c r="D199" s="18">
        <v>493274</v>
      </c>
      <c r="E199" s="18">
        <v>171510</v>
      </c>
      <c r="F199" s="18">
        <f>-416+15231</f>
        <v>14815</v>
      </c>
      <c r="G199" s="18">
        <v>160772</v>
      </c>
      <c r="H199" s="18">
        <v>0</v>
      </c>
      <c r="I199" s="20">
        <v>0</v>
      </c>
      <c r="J199" s="18">
        <v>0</v>
      </c>
      <c r="K199" s="18">
        <f t="shared" si="9"/>
        <v>903100</v>
      </c>
    </row>
    <row r="200" spans="1:13">
      <c r="A200" s="23" t="s">
        <v>60</v>
      </c>
      <c r="B200" s="18">
        <v>45749</v>
      </c>
      <c r="C200" s="18">
        <v>22005</v>
      </c>
      <c r="D200" s="18">
        <v>503417</v>
      </c>
      <c r="E200" s="18">
        <v>162991</v>
      </c>
      <c r="F200" s="18">
        <f>-479+14010</f>
        <v>13531</v>
      </c>
      <c r="G200" s="18">
        <v>128066</v>
      </c>
      <c r="H200" s="18">
        <v>0</v>
      </c>
      <c r="I200" s="20">
        <v>0</v>
      </c>
      <c r="J200" s="18">
        <v>0</v>
      </c>
      <c r="K200" s="18">
        <f t="shared" si="9"/>
        <v>875759</v>
      </c>
      <c r="L200" s="26"/>
    </row>
    <row r="201" spans="1:13">
      <c r="A201" s="23" t="s">
        <v>61</v>
      </c>
      <c r="B201" s="18">
        <v>43107</v>
      </c>
      <c r="C201" s="18">
        <v>22836</v>
      </c>
      <c r="D201" s="18">
        <v>532402</v>
      </c>
      <c r="E201" s="18">
        <v>162034</v>
      </c>
      <c r="F201" s="18">
        <f>-640+13709</f>
        <v>13069</v>
      </c>
      <c r="G201" s="18">
        <v>118657</v>
      </c>
      <c r="H201" s="18">
        <v>0</v>
      </c>
      <c r="I201" s="20">
        <v>0</v>
      </c>
      <c r="J201" s="18">
        <v>0</v>
      </c>
      <c r="K201" s="18">
        <f t="shared" si="9"/>
        <v>892105</v>
      </c>
      <c r="L201" s="26"/>
    </row>
    <row r="202" spans="1:13">
      <c r="A202" s="23" t="s">
        <v>51</v>
      </c>
      <c r="B202" s="18">
        <v>46047</v>
      </c>
      <c r="C202" s="18">
        <v>25360</v>
      </c>
      <c r="D202" s="18">
        <v>542407</v>
      </c>
      <c r="E202" s="18">
        <v>162836</v>
      </c>
      <c r="F202" s="18">
        <f>-711+16631</f>
        <v>15920</v>
      </c>
      <c r="G202" s="18">
        <v>110382</v>
      </c>
      <c r="H202" s="18">
        <v>0</v>
      </c>
      <c r="I202" s="20">
        <v>0</v>
      </c>
      <c r="J202" s="18">
        <v>0</v>
      </c>
      <c r="K202" s="18">
        <f t="shared" si="9"/>
        <v>902952</v>
      </c>
      <c r="L202" s="26"/>
      <c r="M202" s="25"/>
    </row>
    <row r="203" spans="1:13" ht="13">
      <c r="A203" s="22" t="s">
        <v>74</v>
      </c>
      <c r="B203" s="18"/>
      <c r="C203" s="18"/>
      <c r="D203" s="18"/>
      <c r="E203" s="18"/>
      <c r="F203" s="18"/>
      <c r="G203" s="18"/>
      <c r="H203" s="18"/>
      <c r="I203" s="20"/>
      <c r="J203" s="18"/>
      <c r="K203" s="18"/>
    </row>
    <row r="204" spans="1:13">
      <c r="A204" s="23" t="s">
        <v>52</v>
      </c>
      <c r="B204" s="18">
        <v>49971</v>
      </c>
      <c r="C204" s="18">
        <v>28124</v>
      </c>
      <c r="D204" s="18">
        <v>534373</v>
      </c>
      <c r="E204" s="18">
        <v>165773</v>
      </c>
      <c r="F204" s="18">
        <f>-473+11299</f>
        <v>10826</v>
      </c>
      <c r="G204" s="18">
        <v>142216</v>
      </c>
      <c r="H204" s="18">
        <v>0</v>
      </c>
      <c r="I204" s="20">
        <v>0</v>
      </c>
      <c r="J204" s="18">
        <v>0</v>
      </c>
      <c r="K204" s="18">
        <f t="shared" si="9"/>
        <v>931283</v>
      </c>
    </row>
    <row r="205" spans="1:13">
      <c r="A205" s="23" t="s">
        <v>53</v>
      </c>
      <c r="B205" s="18">
        <v>47355</v>
      </c>
      <c r="C205" s="18">
        <v>26413</v>
      </c>
      <c r="D205" s="18">
        <v>556234</v>
      </c>
      <c r="E205" s="18">
        <v>144088</v>
      </c>
      <c r="F205" s="18">
        <f>-550+12793</f>
        <v>12243</v>
      </c>
      <c r="G205" s="18">
        <v>167871</v>
      </c>
      <c r="H205" s="18">
        <v>0</v>
      </c>
      <c r="I205" s="20">
        <v>0</v>
      </c>
      <c r="J205" s="18">
        <v>0</v>
      </c>
      <c r="K205" s="18">
        <f t="shared" si="9"/>
        <v>954204</v>
      </c>
    </row>
    <row r="206" spans="1:13">
      <c r="A206" s="23" t="s">
        <v>54</v>
      </c>
      <c r="B206" s="18">
        <v>46670</v>
      </c>
      <c r="C206" s="18">
        <v>25065</v>
      </c>
      <c r="D206" s="18">
        <v>571227</v>
      </c>
      <c r="E206" s="18">
        <v>156777</v>
      </c>
      <c r="F206" s="18">
        <f>-350+9403</f>
        <v>9053</v>
      </c>
      <c r="G206" s="18">
        <v>201952</v>
      </c>
      <c r="H206" s="18">
        <v>0</v>
      </c>
      <c r="I206" s="20">
        <v>0</v>
      </c>
      <c r="J206" s="18">
        <v>0</v>
      </c>
      <c r="K206" s="18">
        <f>SUM(B206:J206)</f>
        <v>1010744</v>
      </c>
    </row>
    <row r="207" spans="1:13">
      <c r="A207" s="23" t="s">
        <v>55</v>
      </c>
      <c r="B207" s="18">
        <v>48717.4</v>
      </c>
      <c r="C207" s="18">
        <v>21645.200000000001</v>
      </c>
      <c r="D207" s="18">
        <v>565476.80000000005</v>
      </c>
      <c r="E207" s="18">
        <v>158323.79999999999</v>
      </c>
      <c r="F207" s="18">
        <f>-1579+14980</f>
        <v>13401</v>
      </c>
      <c r="G207" s="18">
        <v>226442.2</v>
      </c>
      <c r="H207" s="18">
        <v>0</v>
      </c>
      <c r="I207" s="20">
        <v>0</v>
      </c>
      <c r="J207" s="18">
        <v>0</v>
      </c>
      <c r="K207" s="18">
        <f t="shared" ref="K207:K214" si="10">SUM(B207:J207)</f>
        <v>1034006.3999999999</v>
      </c>
    </row>
    <row r="208" spans="1:13">
      <c r="A208" s="23" t="s">
        <v>56</v>
      </c>
      <c r="B208" s="18">
        <v>47797</v>
      </c>
      <c r="C208" s="18">
        <v>20963</v>
      </c>
      <c r="D208" s="18">
        <v>561876.5</v>
      </c>
      <c r="E208" s="18">
        <v>171850.25</v>
      </c>
      <c r="F208" s="18">
        <f>-1725+14251</f>
        <v>12526</v>
      </c>
      <c r="G208" s="18">
        <v>234984.75</v>
      </c>
      <c r="H208" s="18">
        <v>0</v>
      </c>
      <c r="I208" s="20">
        <v>0</v>
      </c>
      <c r="J208" s="18">
        <v>0</v>
      </c>
      <c r="K208" s="18">
        <f t="shared" si="10"/>
        <v>1049997.5</v>
      </c>
    </row>
    <row r="209" spans="1:15">
      <c r="A209" s="23" t="s">
        <v>57</v>
      </c>
      <c r="B209" s="18">
        <v>49395.75</v>
      </c>
      <c r="C209" s="18">
        <v>23087.5</v>
      </c>
      <c r="D209" s="18">
        <v>588812.75</v>
      </c>
      <c r="E209" s="18">
        <v>164362</v>
      </c>
      <c r="F209" s="18">
        <f>-337+15428</f>
        <v>15091</v>
      </c>
      <c r="G209" s="18">
        <v>226665</v>
      </c>
      <c r="H209" s="18">
        <v>0</v>
      </c>
      <c r="I209" s="20">
        <v>0</v>
      </c>
      <c r="J209" s="18">
        <v>0</v>
      </c>
      <c r="K209" s="18">
        <f t="shared" si="10"/>
        <v>1067414</v>
      </c>
      <c r="O209" s="18"/>
    </row>
    <row r="210" spans="1:15">
      <c r="A210" s="23" t="s">
        <v>58</v>
      </c>
      <c r="B210" s="18">
        <v>48619</v>
      </c>
      <c r="C210" s="18">
        <v>22481</v>
      </c>
      <c r="D210" s="18">
        <v>606222</v>
      </c>
      <c r="E210" s="18">
        <v>158368</v>
      </c>
      <c r="F210" s="18">
        <f>-626+14174</f>
        <v>13548</v>
      </c>
      <c r="G210" s="18">
        <v>215510</v>
      </c>
      <c r="H210" s="18">
        <v>0</v>
      </c>
      <c r="I210" s="20">
        <v>0</v>
      </c>
      <c r="J210" s="18">
        <v>0</v>
      </c>
      <c r="K210" s="18">
        <f t="shared" si="10"/>
        <v>1064748</v>
      </c>
      <c r="O210" s="18"/>
    </row>
    <row r="211" spans="1:15">
      <c r="A211" s="23" t="s">
        <v>59</v>
      </c>
      <c r="B211" s="18">
        <v>51375</v>
      </c>
      <c r="C211" s="18">
        <v>22026</v>
      </c>
      <c r="D211" s="18">
        <v>629634</v>
      </c>
      <c r="E211" s="18">
        <v>144370</v>
      </c>
      <c r="F211" s="18">
        <f>-298+15479</f>
        <v>15181</v>
      </c>
      <c r="G211" s="18">
        <v>206440.75</v>
      </c>
      <c r="H211" s="18">
        <v>0</v>
      </c>
      <c r="I211" s="20">
        <v>0</v>
      </c>
      <c r="J211" s="18">
        <v>0</v>
      </c>
      <c r="K211" s="18">
        <f t="shared" si="10"/>
        <v>1069026.75</v>
      </c>
      <c r="O211" s="18"/>
    </row>
    <row r="212" spans="1:15">
      <c r="A212" s="23" t="s">
        <v>67</v>
      </c>
      <c r="B212" s="18">
        <v>51771</v>
      </c>
      <c r="C212" s="18">
        <v>25061</v>
      </c>
      <c r="D212" s="18">
        <v>642465</v>
      </c>
      <c r="E212" s="18">
        <v>144367</v>
      </c>
      <c r="F212" s="18">
        <f>-958+14699</f>
        <v>13741</v>
      </c>
      <c r="G212" s="18">
        <v>179374</v>
      </c>
      <c r="H212" s="18">
        <v>0</v>
      </c>
      <c r="I212" s="20">
        <v>0</v>
      </c>
      <c r="J212" s="18">
        <v>0</v>
      </c>
      <c r="K212" s="18">
        <f t="shared" si="10"/>
        <v>1056779</v>
      </c>
      <c r="O212" s="18"/>
    </row>
    <row r="213" spans="1:15">
      <c r="A213" s="23" t="s">
        <v>60</v>
      </c>
      <c r="B213" s="18">
        <v>48360</v>
      </c>
      <c r="C213" s="18">
        <v>22072.75</v>
      </c>
      <c r="D213" s="18">
        <v>647002</v>
      </c>
      <c r="E213" s="18">
        <v>144367.75</v>
      </c>
      <c r="F213" s="18">
        <f>5711+12799</f>
        <v>18510</v>
      </c>
      <c r="G213" s="18">
        <v>158198.5</v>
      </c>
      <c r="H213" s="18">
        <v>0</v>
      </c>
      <c r="I213" s="20">
        <v>0</v>
      </c>
      <c r="J213" s="18">
        <v>0</v>
      </c>
      <c r="K213" s="18">
        <f t="shared" si="10"/>
        <v>1038511</v>
      </c>
      <c r="O213" s="18"/>
    </row>
    <row r="214" spans="1:15">
      <c r="A214" s="23" t="s">
        <v>61</v>
      </c>
      <c r="B214" s="18">
        <v>50697</v>
      </c>
      <c r="C214" s="18">
        <v>23656.25</v>
      </c>
      <c r="D214" s="18">
        <v>669482</v>
      </c>
      <c r="E214" s="18">
        <v>149981</v>
      </c>
      <c r="F214" s="18">
        <f>-6908+13097</f>
        <v>6189</v>
      </c>
      <c r="G214" s="18">
        <v>140083.25</v>
      </c>
      <c r="H214" s="18">
        <v>0</v>
      </c>
      <c r="I214" s="20">
        <v>0</v>
      </c>
      <c r="J214" s="18">
        <v>0</v>
      </c>
      <c r="K214" s="18">
        <f t="shared" si="10"/>
        <v>1040088.5</v>
      </c>
      <c r="O214" s="18"/>
    </row>
    <row r="215" spans="1:15">
      <c r="A215" s="23" t="s">
        <v>51</v>
      </c>
      <c r="B215" s="18">
        <v>52948</v>
      </c>
      <c r="C215" s="18">
        <v>24117</v>
      </c>
      <c r="D215" s="18">
        <v>666930</v>
      </c>
      <c r="E215" s="18">
        <v>149982</v>
      </c>
      <c r="F215" s="18">
        <f>-5924+13679</f>
        <v>7755</v>
      </c>
      <c r="G215" s="18">
        <v>144299</v>
      </c>
      <c r="H215" s="18">
        <v>0</v>
      </c>
      <c r="I215" s="20">
        <v>0</v>
      </c>
      <c r="J215" s="18">
        <v>1255</v>
      </c>
      <c r="K215" s="18">
        <f>SUM(B215:J215)</f>
        <v>1047286</v>
      </c>
      <c r="O215" s="18"/>
    </row>
    <row r="216" spans="1:15" ht="13">
      <c r="A216" s="22" t="s">
        <v>78</v>
      </c>
      <c r="B216" s="18"/>
      <c r="C216" s="18"/>
      <c r="D216" s="18"/>
      <c r="E216" s="18"/>
      <c r="F216" s="18"/>
      <c r="G216" s="18"/>
      <c r="H216" s="18"/>
      <c r="I216" s="20"/>
      <c r="J216" s="18"/>
      <c r="K216" s="18"/>
      <c r="O216" s="18"/>
    </row>
    <row r="217" spans="1:15">
      <c r="A217" s="23" t="s">
        <v>52</v>
      </c>
      <c r="B217" s="18">
        <v>56331</v>
      </c>
      <c r="C217" s="18">
        <v>24105</v>
      </c>
      <c r="D217" s="18">
        <v>674939</v>
      </c>
      <c r="E217" s="18">
        <v>149984</v>
      </c>
      <c r="F217" s="18">
        <f>-6007+11979</f>
        <v>5972</v>
      </c>
      <c r="G217" s="18">
        <v>161733</v>
      </c>
      <c r="H217" s="18">
        <v>0</v>
      </c>
      <c r="I217" s="20">
        <v>0</v>
      </c>
      <c r="J217" s="18">
        <v>500</v>
      </c>
      <c r="K217" s="18">
        <f>SUM(B217:J217)</f>
        <v>1073564</v>
      </c>
      <c r="O217" s="18"/>
    </row>
    <row r="218" spans="1:15">
      <c r="A218" s="23" t="s">
        <v>53</v>
      </c>
      <c r="B218" s="18">
        <v>50324</v>
      </c>
      <c r="C218" s="18">
        <v>21201</v>
      </c>
      <c r="D218" s="18">
        <v>685477</v>
      </c>
      <c r="E218" s="18">
        <v>156270</v>
      </c>
      <c r="F218" s="18">
        <f>-7698+18613</f>
        <v>10915</v>
      </c>
      <c r="G218" s="18">
        <v>157047</v>
      </c>
      <c r="H218" s="18">
        <v>0</v>
      </c>
      <c r="I218" s="20">
        <v>0</v>
      </c>
      <c r="J218" s="18">
        <v>3999</v>
      </c>
      <c r="K218" s="18">
        <f t="shared" ref="K218:K219" si="11">SUM(B218:J218)</f>
        <v>1085233</v>
      </c>
      <c r="O218" s="18"/>
    </row>
    <row r="219" spans="1:15">
      <c r="A219" s="23" t="s">
        <v>54</v>
      </c>
      <c r="B219" s="18">
        <v>50923</v>
      </c>
      <c r="C219" s="18">
        <v>21070</v>
      </c>
      <c r="D219" s="18">
        <v>711779</v>
      </c>
      <c r="E219" s="18">
        <v>161955</v>
      </c>
      <c r="F219" s="18">
        <f>-7909+18020</f>
        <v>10111</v>
      </c>
      <c r="G219" s="18">
        <v>186953</v>
      </c>
      <c r="H219" s="18">
        <v>0</v>
      </c>
      <c r="I219" s="20">
        <v>0</v>
      </c>
      <c r="J219" s="18">
        <v>2199</v>
      </c>
      <c r="K219" s="18">
        <f t="shared" si="11"/>
        <v>1144990</v>
      </c>
      <c r="O219" s="18"/>
    </row>
    <row r="220" spans="1:15">
      <c r="A220" s="23" t="s">
        <v>55</v>
      </c>
      <c r="B220" s="18">
        <v>50943</v>
      </c>
      <c r="C220" s="18">
        <v>21318</v>
      </c>
      <c r="D220" s="18">
        <v>689766.25</v>
      </c>
      <c r="E220" s="18">
        <v>161671</v>
      </c>
      <c r="F220" s="18">
        <f>-4028+2906</f>
        <v>-1122</v>
      </c>
      <c r="G220" s="18">
        <v>218343.75</v>
      </c>
      <c r="H220" s="18">
        <v>0</v>
      </c>
      <c r="I220" s="20">
        <v>0</v>
      </c>
      <c r="J220" s="18">
        <v>1000</v>
      </c>
      <c r="K220" s="18">
        <f t="shared" ref="K220:K227" si="12">SUM(B220:J220)</f>
        <v>1141920</v>
      </c>
      <c r="O220" s="18"/>
    </row>
    <row r="221" spans="1:15">
      <c r="A221" s="23" t="s">
        <v>56</v>
      </c>
      <c r="B221" s="18">
        <v>51339.75</v>
      </c>
      <c r="C221" s="18">
        <v>22509.75</v>
      </c>
      <c r="D221" s="18">
        <v>675805</v>
      </c>
      <c r="E221" s="18">
        <v>168429</v>
      </c>
      <c r="F221" s="18">
        <f>-351+5855</f>
        <v>5504</v>
      </c>
      <c r="G221" s="18">
        <v>211048.5</v>
      </c>
      <c r="H221" s="18">
        <v>0</v>
      </c>
      <c r="I221" s="20">
        <v>0</v>
      </c>
      <c r="J221" s="18">
        <v>2749</v>
      </c>
      <c r="K221" s="18">
        <f t="shared" si="12"/>
        <v>1137385</v>
      </c>
      <c r="O221" s="18"/>
    </row>
    <row r="222" spans="1:15">
      <c r="A222" s="23" t="s">
        <v>57</v>
      </c>
      <c r="B222" s="18">
        <v>52166</v>
      </c>
      <c r="C222" s="18">
        <v>19529.8</v>
      </c>
      <c r="D222" s="18">
        <v>684576.8</v>
      </c>
      <c r="E222" s="18">
        <v>188995</v>
      </c>
      <c r="F222" s="18">
        <f>-3915+1673</f>
        <v>-2242</v>
      </c>
      <c r="G222" s="18">
        <v>192615</v>
      </c>
      <c r="H222" s="18">
        <v>4000</v>
      </c>
      <c r="I222" s="20">
        <v>0</v>
      </c>
      <c r="J222" s="18">
        <v>5197</v>
      </c>
      <c r="K222" s="18">
        <f t="shared" si="12"/>
        <v>1144837.6000000001</v>
      </c>
      <c r="O222" s="18"/>
    </row>
    <row r="223" spans="1:15">
      <c r="A223" s="23" t="s">
        <v>58</v>
      </c>
      <c r="B223" s="18">
        <v>53308.75</v>
      </c>
      <c r="C223" s="18">
        <v>19818</v>
      </c>
      <c r="D223" s="18">
        <v>688023.5</v>
      </c>
      <c r="E223" s="18">
        <v>200245</v>
      </c>
      <c r="F223" s="18">
        <f>3470+1504</f>
        <v>4974</v>
      </c>
      <c r="G223" s="18">
        <v>177094.25</v>
      </c>
      <c r="H223" s="18">
        <v>10000</v>
      </c>
      <c r="I223" s="20">
        <v>0</v>
      </c>
      <c r="J223" s="18">
        <v>7246.5</v>
      </c>
      <c r="K223" s="18">
        <f t="shared" si="12"/>
        <v>1160710</v>
      </c>
      <c r="O223" s="18"/>
    </row>
    <row r="224" spans="1:15">
      <c r="A224" s="23" t="s">
        <v>59</v>
      </c>
      <c r="B224" s="18">
        <v>53429</v>
      </c>
      <c r="C224" s="18">
        <v>20404</v>
      </c>
      <c r="D224" s="18">
        <v>715850</v>
      </c>
      <c r="E224" s="18">
        <v>193033</v>
      </c>
      <c r="F224" s="18">
        <f>3176+2207</f>
        <v>5383</v>
      </c>
      <c r="G224" s="18">
        <v>156184</v>
      </c>
      <c r="H224" s="18">
        <v>10000</v>
      </c>
      <c r="I224" s="20">
        <v>0</v>
      </c>
      <c r="J224" s="18">
        <v>7395</v>
      </c>
      <c r="K224" s="18">
        <f t="shared" si="12"/>
        <v>1161678</v>
      </c>
      <c r="O224" s="18"/>
    </row>
    <row r="225" spans="1:15">
      <c r="A225" s="23" t="s">
        <v>67</v>
      </c>
      <c r="B225" s="18">
        <v>54654</v>
      </c>
      <c r="C225" s="18">
        <v>21368</v>
      </c>
      <c r="D225" s="18">
        <v>735585</v>
      </c>
      <c r="E225" s="18">
        <v>176589</v>
      </c>
      <c r="F225" s="18">
        <f>2838+6000</f>
        <v>8838</v>
      </c>
      <c r="G225" s="18">
        <v>146147</v>
      </c>
      <c r="H225" s="18">
        <v>8750</v>
      </c>
      <c r="I225" s="20">
        <v>0</v>
      </c>
      <c r="J225" s="18">
        <v>6747</v>
      </c>
      <c r="K225" s="18">
        <f t="shared" si="12"/>
        <v>1158678</v>
      </c>
      <c r="O225" s="18"/>
    </row>
    <row r="226" spans="1:15">
      <c r="A226" s="23" t="s">
        <v>60</v>
      </c>
      <c r="B226" s="18">
        <v>52899</v>
      </c>
      <c r="C226" s="18">
        <v>17539.5</v>
      </c>
      <c r="D226" s="18">
        <v>667528.25</v>
      </c>
      <c r="E226" s="30">
        <v>176214.75</v>
      </c>
      <c r="F226" s="18">
        <f>2638+1572</f>
        <v>4210</v>
      </c>
      <c r="G226" s="18">
        <v>142616</v>
      </c>
      <c r="H226" s="18">
        <v>5000</v>
      </c>
      <c r="I226" s="20">
        <v>0</v>
      </c>
      <c r="J226" s="18">
        <v>5248.75</v>
      </c>
      <c r="K226" s="18">
        <f t="shared" si="12"/>
        <v>1071256.25</v>
      </c>
      <c r="O226" s="18"/>
    </row>
    <row r="227" spans="1:15">
      <c r="A227" s="23" t="s">
        <v>61</v>
      </c>
      <c r="B227" s="18">
        <v>54083</v>
      </c>
      <c r="C227" s="18">
        <v>27233.4</v>
      </c>
      <c r="D227" s="18">
        <v>623231.4</v>
      </c>
      <c r="E227" s="18">
        <v>171700</v>
      </c>
      <c r="F227" s="18">
        <f>2748+1193</f>
        <v>3941</v>
      </c>
      <c r="G227" s="18">
        <v>135561.20000000001</v>
      </c>
      <c r="H227" s="18">
        <v>17000</v>
      </c>
      <c r="I227" s="20">
        <v>0</v>
      </c>
      <c r="J227" s="18">
        <v>3601</v>
      </c>
      <c r="K227" s="18">
        <f t="shared" si="12"/>
        <v>1036351</v>
      </c>
      <c r="O227" s="18"/>
    </row>
    <row r="228" spans="1:15">
      <c r="A228" s="23" t="s">
        <v>51</v>
      </c>
      <c r="B228" s="18">
        <v>51505</v>
      </c>
      <c r="C228" s="18">
        <v>23879.75</v>
      </c>
      <c r="D228" s="18">
        <v>656259</v>
      </c>
      <c r="E228" s="18">
        <v>151700</v>
      </c>
      <c r="F228" s="18">
        <f>2672+5842</f>
        <v>8514</v>
      </c>
      <c r="G228" s="18">
        <v>137982.75</v>
      </c>
      <c r="H228" s="18">
        <v>26250</v>
      </c>
      <c r="I228" s="20">
        <v>0</v>
      </c>
      <c r="J228" s="18">
        <v>1250.75</v>
      </c>
      <c r="K228" s="18">
        <f>SUM(B228:J228)</f>
        <v>1057341.25</v>
      </c>
      <c r="O228" s="18"/>
    </row>
    <row r="229" spans="1:15" ht="13">
      <c r="A229" s="22" t="s">
        <v>79</v>
      </c>
      <c r="O229" s="18"/>
    </row>
    <row r="230" spans="1:15">
      <c r="A230" s="23" t="s">
        <v>52</v>
      </c>
      <c r="B230" s="18">
        <v>59521.5</v>
      </c>
      <c r="C230" s="18">
        <v>26235.5</v>
      </c>
      <c r="D230" s="18">
        <v>616514.75</v>
      </c>
      <c r="E230" s="18">
        <v>176700</v>
      </c>
      <c r="F230" s="18">
        <v>29264</v>
      </c>
      <c r="G230" s="18">
        <v>133348.25</v>
      </c>
      <c r="H230" s="18">
        <v>0</v>
      </c>
      <c r="I230" s="20">
        <v>0</v>
      </c>
      <c r="J230" s="18">
        <v>0</v>
      </c>
      <c r="K230" s="18">
        <v>1041584</v>
      </c>
      <c r="L230" s="18"/>
      <c r="O230" s="18"/>
    </row>
    <row r="231" spans="1:15">
      <c r="A231" s="23" t="s">
        <v>53</v>
      </c>
      <c r="B231" s="18">
        <v>52365</v>
      </c>
      <c r="C231" s="18">
        <v>21371.5</v>
      </c>
      <c r="D231" s="18">
        <v>634575.25</v>
      </c>
      <c r="E231" s="18">
        <v>165450</v>
      </c>
      <c r="F231" s="18">
        <v>23953</v>
      </c>
      <c r="G231" s="18">
        <v>144437.75</v>
      </c>
      <c r="H231" s="18">
        <v>0</v>
      </c>
      <c r="I231" s="20">
        <v>0</v>
      </c>
      <c r="J231" s="18">
        <v>0</v>
      </c>
      <c r="K231" s="18">
        <v>1042152.5</v>
      </c>
      <c r="O231" s="18"/>
    </row>
    <row r="232" spans="1:15">
      <c r="A232" s="23" t="s">
        <v>54</v>
      </c>
      <c r="B232" s="18">
        <v>52139.6</v>
      </c>
      <c r="C232" s="18">
        <v>20217</v>
      </c>
      <c r="D232" s="18">
        <v>674519</v>
      </c>
      <c r="E232" s="18">
        <v>141700</v>
      </c>
      <c r="F232" s="18">
        <v>20520.2</v>
      </c>
      <c r="G232" s="18">
        <v>148323.79999999999</v>
      </c>
      <c r="H232" s="18">
        <v>0</v>
      </c>
      <c r="I232" s="20">
        <v>0</v>
      </c>
      <c r="J232" s="18">
        <v>0</v>
      </c>
      <c r="K232" s="18">
        <v>1057419.5999999999</v>
      </c>
      <c r="O232" s="18"/>
    </row>
    <row r="233" spans="1:15">
      <c r="A233" s="23" t="s">
        <v>55</v>
      </c>
      <c r="B233" s="18">
        <v>57573.25</v>
      </c>
      <c r="C233" s="18">
        <v>22592</v>
      </c>
      <c r="D233" s="18">
        <v>652718.5</v>
      </c>
      <c r="E233" s="18">
        <v>134200</v>
      </c>
      <c r="F233" s="18">
        <v>28963.75</v>
      </c>
      <c r="G233" s="18">
        <v>136812.25</v>
      </c>
      <c r="H233" s="18">
        <v>0</v>
      </c>
      <c r="I233" s="20">
        <v>0</v>
      </c>
      <c r="J233" s="18">
        <v>0</v>
      </c>
      <c r="K233" s="18">
        <v>1032859.75</v>
      </c>
      <c r="O233" s="18"/>
    </row>
    <row r="234" spans="1:15">
      <c r="A234" s="23" t="s">
        <v>56</v>
      </c>
      <c r="B234" s="18">
        <v>56048.800000000003</v>
      </c>
      <c r="C234" s="18">
        <v>22007.200000000001</v>
      </c>
      <c r="D234" s="18">
        <v>559467.6</v>
      </c>
      <c r="E234" s="18">
        <v>122700</v>
      </c>
      <c r="F234" s="18">
        <v>40449.4</v>
      </c>
      <c r="G234" s="18">
        <v>128801.8</v>
      </c>
      <c r="H234" s="18">
        <v>0</v>
      </c>
      <c r="I234" s="20">
        <v>0</v>
      </c>
      <c r="J234" s="18">
        <v>0</v>
      </c>
      <c r="K234" s="18">
        <v>929474.8</v>
      </c>
      <c r="O234" s="18"/>
    </row>
    <row r="235" spans="1:15">
      <c r="A235" s="23" t="s">
        <v>57</v>
      </c>
      <c r="B235" s="18">
        <v>54713.5</v>
      </c>
      <c r="C235" s="18">
        <v>20869</v>
      </c>
      <c r="D235" s="18">
        <v>494645.5</v>
      </c>
      <c r="E235" s="18">
        <v>131700</v>
      </c>
      <c r="F235" s="18">
        <v>40864.25</v>
      </c>
      <c r="G235" s="18">
        <v>138201</v>
      </c>
      <c r="H235" s="18">
        <v>0</v>
      </c>
      <c r="I235" s="20">
        <v>0</v>
      </c>
      <c r="J235" s="18">
        <v>0</v>
      </c>
      <c r="K235" s="18">
        <v>880993.25</v>
      </c>
      <c r="O235" s="18"/>
    </row>
    <row r="236" spans="1:15">
      <c r="A236" s="23" t="s">
        <v>58</v>
      </c>
      <c r="B236" s="18">
        <v>53743.5</v>
      </c>
      <c r="C236" s="18">
        <v>22826</v>
      </c>
      <c r="D236" s="18">
        <v>479785.5</v>
      </c>
      <c r="E236" s="18">
        <v>136700</v>
      </c>
      <c r="F236" s="18">
        <v>37877</v>
      </c>
      <c r="G236" s="18">
        <v>120838</v>
      </c>
      <c r="H236" s="18">
        <v>0</v>
      </c>
      <c r="I236" s="20">
        <v>0</v>
      </c>
      <c r="J236" s="18">
        <v>0</v>
      </c>
      <c r="K236" s="18">
        <v>851770</v>
      </c>
      <c r="O236" s="18"/>
    </row>
    <row r="237" spans="1:15">
      <c r="A237" s="23" t="s">
        <v>59</v>
      </c>
      <c r="B237" s="18">
        <v>52147.199999999997</v>
      </c>
      <c r="C237" s="18">
        <v>22549.4</v>
      </c>
      <c r="D237" s="18">
        <v>489603.2</v>
      </c>
      <c r="E237" s="18">
        <v>136700</v>
      </c>
      <c r="F237" s="18">
        <v>32099</v>
      </c>
      <c r="G237" s="18">
        <v>110686.2</v>
      </c>
      <c r="H237" s="18">
        <v>0</v>
      </c>
      <c r="I237" s="20">
        <v>0</v>
      </c>
      <c r="J237" s="18">
        <v>0</v>
      </c>
      <c r="K237" s="18">
        <v>843785</v>
      </c>
      <c r="O237" s="18"/>
    </row>
    <row r="238" spans="1:15">
      <c r="A238" s="23" t="s">
        <v>67</v>
      </c>
      <c r="B238" s="18">
        <v>51910.25</v>
      </c>
      <c r="C238" s="18">
        <v>27520</v>
      </c>
      <c r="D238" s="18">
        <v>494689.75</v>
      </c>
      <c r="E238" s="18">
        <v>133450</v>
      </c>
      <c r="F238" s="18">
        <v>31857.25</v>
      </c>
      <c r="G238" s="18">
        <v>96369</v>
      </c>
      <c r="H238" s="18">
        <v>0</v>
      </c>
      <c r="I238" s="20">
        <v>0</v>
      </c>
      <c r="J238" s="18">
        <v>0</v>
      </c>
      <c r="K238" s="18">
        <v>835796.25</v>
      </c>
      <c r="O238" s="18"/>
    </row>
    <row r="239" spans="1:15">
      <c r="A239" s="23" t="s">
        <v>60</v>
      </c>
      <c r="B239" s="18">
        <v>52823.75</v>
      </c>
      <c r="C239" s="18">
        <v>17369</v>
      </c>
      <c r="D239" s="18">
        <v>492129</v>
      </c>
      <c r="E239" s="18">
        <v>125700</v>
      </c>
      <c r="F239" s="18">
        <v>32220.75</v>
      </c>
      <c r="G239" s="18">
        <v>88970.5</v>
      </c>
      <c r="H239" s="18">
        <v>0</v>
      </c>
      <c r="I239" s="20">
        <v>0</v>
      </c>
      <c r="J239" s="18">
        <v>0</v>
      </c>
      <c r="K239" s="18">
        <v>809213</v>
      </c>
      <c r="O239" s="18"/>
    </row>
    <row r="240" spans="1:15">
      <c r="A240" s="23" t="s">
        <v>61</v>
      </c>
      <c r="B240" s="18">
        <v>54413.8</v>
      </c>
      <c r="C240" s="18">
        <v>16095.2</v>
      </c>
      <c r="D240" s="18">
        <v>506131.6</v>
      </c>
      <c r="E240" s="18">
        <v>144691</v>
      </c>
      <c r="F240" s="18">
        <v>26485.8</v>
      </c>
      <c r="G240" s="18">
        <v>86215.8</v>
      </c>
      <c r="H240" s="18">
        <v>0</v>
      </c>
      <c r="I240" s="20">
        <v>0</v>
      </c>
      <c r="J240" s="18">
        <v>0</v>
      </c>
      <c r="K240" s="18">
        <v>834033.20000000007</v>
      </c>
      <c r="O240" s="18"/>
    </row>
    <row r="241" spans="1:15">
      <c r="A241" s="23" t="s">
        <v>51</v>
      </c>
      <c r="B241" s="18">
        <v>54729.75</v>
      </c>
      <c r="C241" s="18">
        <v>20744</v>
      </c>
      <c r="D241" s="18">
        <v>507763.75</v>
      </c>
      <c r="E241" s="18">
        <v>158950</v>
      </c>
      <c r="F241" s="18">
        <v>33374.25</v>
      </c>
      <c r="G241" s="18">
        <v>93303.25</v>
      </c>
      <c r="H241" s="18">
        <v>0</v>
      </c>
      <c r="I241" s="20">
        <v>0</v>
      </c>
      <c r="J241" s="18">
        <v>0</v>
      </c>
      <c r="K241" s="18">
        <v>868865</v>
      </c>
      <c r="O241" s="18"/>
    </row>
    <row r="242" spans="1:15" ht="13">
      <c r="A242" s="22" t="s">
        <v>80</v>
      </c>
      <c r="B242" s="18"/>
      <c r="C242" s="18"/>
      <c r="D242" s="18"/>
      <c r="E242" s="18"/>
      <c r="F242" s="18"/>
      <c r="G242" s="18"/>
      <c r="H242" s="18"/>
      <c r="I242" s="20"/>
      <c r="J242" s="18"/>
      <c r="K242" s="18"/>
      <c r="O242" s="18"/>
    </row>
    <row r="243" spans="1:15">
      <c r="A243" s="23" t="s">
        <v>52</v>
      </c>
      <c r="B243" s="18">
        <v>60378.400000000001</v>
      </c>
      <c r="C243" s="18">
        <v>26212.799999999999</v>
      </c>
      <c r="D243" s="18">
        <v>486682</v>
      </c>
      <c r="E243" s="18">
        <v>168288</v>
      </c>
      <c r="F243" s="18">
        <v>32358</v>
      </c>
      <c r="G243" s="18">
        <v>118988.2</v>
      </c>
      <c r="H243" s="18">
        <v>0</v>
      </c>
      <c r="I243" s="20">
        <v>0</v>
      </c>
      <c r="J243" s="18">
        <v>0</v>
      </c>
      <c r="K243" s="18">
        <v>892907.39999999991</v>
      </c>
      <c r="O243" s="18"/>
    </row>
    <row r="244" spans="1:15">
      <c r="A244" s="23" t="s">
        <v>53</v>
      </c>
      <c r="B244" s="18">
        <v>57740</v>
      </c>
      <c r="C244" s="18">
        <v>21969.25</v>
      </c>
      <c r="D244" s="18">
        <v>472098</v>
      </c>
      <c r="E244" s="18">
        <v>179640</v>
      </c>
      <c r="F244" s="18">
        <v>33390.5</v>
      </c>
      <c r="G244" s="18">
        <v>136027.75</v>
      </c>
      <c r="H244" s="18">
        <v>0</v>
      </c>
      <c r="I244" s="20">
        <v>0</v>
      </c>
      <c r="J244" s="18">
        <v>0</v>
      </c>
      <c r="K244" s="18">
        <v>900865.5</v>
      </c>
      <c r="O244" s="18"/>
    </row>
    <row r="245" spans="1:15">
      <c r="A245" s="23" t="s">
        <v>54</v>
      </c>
      <c r="B245" s="18">
        <v>57593.5</v>
      </c>
      <c r="C245" s="18">
        <v>24003.75</v>
      </c>
      <c r="D245" s="18">
        <v>476634.5</v>
      </c>
      <c r="E245" s="18">
        <v>169640</v>
      </c>
      <c r="F245" s="18">
        <v>1119.75</v>
      </c>
      <c r="G245" s="18">
        <v>170893</v>
      </c>
      <c r="H245" s="18">
        <v>0</v>
      </c>
      <c r="I245" s="20">
        <v>0</v>
      </c>
      <c r="J245" s="18">
        <v>0</v>
      </c>
      <c r="K245" s="18">
        <v>899884.5</v>
      </c>
      <c r="O245" s="18"/>
    </row>
    <row r="246" spans="1:15">
      <c r="A246" s="23" t="s">
        <v>55</v>
      </c>
      <c r="B246" s="18">
        <v>60724.75</v>
      </c>
      <c r="C246" s="18">
        <v>24547</v>
      </c>
      <c r="D246" s="18">
        <v>476789.5</v>
      </c>
      <c r="E246" s="18">
        <v>148390</v>
      </c>
      <c r="F246" s="18">
        <v>4819</v>
      </c>
      <c r="G246" s="18">
        <v>218959.5</v>
      </c>
      <c r="H246" s="18">
        <v>0</v>
      </c>
      <c r="I246" s="20">
        <v>0</v>
      </c>
      <c r="J246" s="18">
        <v>0</v>
      </c>
      <c r="K246" s="18">
        <v>934229.75</v>
      </c>
      <c r="O246" s="18"/>
    </row>
    <row r="247" spans="1:15">
      <c r="A247" s="23" t="s">
        <v>56</v>
      </c>
      <c r="B247" s="18">
        <v>58087.199999999997</v>
      </c>
      <c r="C247" s="18">
        <v>29568.6</v>
      </c>
      <c r="D247" s="18">
        <v>452966.8</v>
      </c>
      <c r="E247" s="18">
        <v>160700</v>
      </c>
      <c r="F247" s="18">
        <v>14260.2</v>
      </c>
      <c r="G247" s="18">
        <v>206539.6</v>
      </c>
      <c r="H247" s="18">
        <v>0</v>
      </c>
      <c r="I247" s="20">
        <v>0</v>
      </c>
      <c r="J247" s="18">
        <v>0</v>
      </c>
      <c r="K247" s="18">
        <v>922122.39999999991</v>
      </c>
      <c r="O247" s="18"/>
    </row>
    <row r="248" spans="1:15">
      <c r="A248" s="23" t="s">
        <v>57</v>
      </c>
      <c r="B248" s="18">
        <v>57219</v>
      </c>
      <c r="C248" s="18">
        <v>29078.75</v>
      </c>
      <c r="D248" s="18">
        <v>441287.5</v>
      </c>
      <c r="E248" s="18">
        <v>186700</v>
      </c>
      <c r="F248" s="18">
        <v>8643.25</v>
      </c>
      <c r="G248" s="18">
        <v>195788.5</v>
      </c>
      <c r="H248" s="18">
        <v>0</v>
      </c>
      <c r="I248" s="20">
        <v>0</v>
      </c>
      <c r="J248" s="18">
        <v>0</v>
      </c>
      <c r="K248" s="18">
        <v>918717</v>
      </c>
      <c r="O248" s="18"/>
    </row>
    <row r="249" spans="1:15">
      <c r="A249" s="23" t="s">
        <v>58</v>
      </c>
      <c r="B249" s="18">
        <v>59575.25</v>
      </c>
      <c r="C249" s="18">
        <v>35729.75</v>
      </c>
      <c r="D249" s="18">
        <v>449782</v>
      </c>
      <c r="E249" s="18">
        <v>172525</v>
      </c>
      <c r="F249" s="18">
        <v>12965.25</v>
      </c>
      <c r="G249" s="18">
        <v>188889.25</v>
      </c>
      <c r="H249" s="18">
        <v>0</v>
      </c>
      <c r="I249" s="20">
        <v>0</v>
      </c>
      <c r="J249" s="18">
        <v>0</v>
      </c>
      <c r="K249" s="18">
        <v>919466.5</v>
      </c>
      <c r="O249" s="18"/>
    </row>
    <row r="250" spans="1:15">
      <c r="A250" s="23" t="s">
        <v>59</v>
      </c>
      <c r="B250" s="18">
        <v>57509.4</v>
      </c>
      <c r="C250" s="18">
        <v>37327.4</v>
      </c>
      <c r="D250" s="18">
        <v>430845.8</v>
      </c>
      <c r="E250" s="18">
        <v>178580</v>
      </c>
      <c r="F250" s="18">
        <v>12166.8</v>
      </c>
      <c r="G250" s="18">
        <v>195371</v>
      </c>
      <c r="H250" s="18">
        <v>0</v>
      </c>
      <c r="I250" s="20">
        <v>0</v>
      </c>
      <c r="J250" s="18">
        <v>0</v>
      </c>
      <c r="K250" s="18">
        <v>911800.4</v>
      </c>
      <c r="O250" s="18"/>
    </row>
    <row r="251" spans="1:15">
      <c r="A251" s="23" t="s">
        <v>67</v>
      </c>
      <c r="B251" s="18">
        <v>55711.75</v>
      </c>
      <c r="C251" s="18">
        <v>43878.25</v>
      </c>
      <c r="D251" s="18">
        <v>415318.75</v>
      </c>
      <c r="E251" s="18">
        <v>185850</v>
      </c>
      <c r="F251" s="18">
        <v>6488</v>
      </c>
      <c r="G251" s="18">
        <v>182005.75</v>
      </c>
      <c r="H251" s="18">
        <v>0</v>
      </c>
      <c r="I251" s="20">
        <v>0</v>
      </c>
      <c r="J251" s="18">
        <v>0</v>
      </c>
      <c r="K251" s="18">
        <v>889252.5</v>
      </c>
      <c r="O251" s="18"/>
    </row>
    <row r="252" spans="1:15">
      <c r="A252" s="23" t="s">
        <v>60</v>
      </c>
      <c r="B252" s="18">
        <v>55961.4</v>
      </c>
      <c r="C252" s="18">
        <v>42599.6</v>
      </c>
      <c r="D252" s="18">
        <v>425620.2</v>
      </c>
      <c r="E252" s="18">
        <v>182400</v>
      </c>
      <c r="F252" s="18">
        <v>2832.4</v>
      </c>
      <c r="G252" s="18">
        <v>147162.79999999999</v>
      </c>
      <c r="H252" s="18">
        <v>0</v>
      </c>
      <c r="I252" s="20">
        <v>0</v>
      </c>
      <c r="J252" s="18">
        <v>0</v>
      </c>
      <c r="K252" s="18">
        <v>856576.39999999991</v>
      </c>
      <c r="O252" s="18"/>
    </row>
    <row r="253" spans="1:15">
      <c r="A253" s="23" t="s">
        <v>61</v>
      </c>
      <c r="B253" s="18">
        <v>56177.25</v>
      </c>
      <c r="C253" s="18">
        <v>39803</v>
      </c>
      <c r="D253" s="18">
        <v>428597.25</v>
      </c>
      <c r="E253" s="18">
        <v>200200</v>
      </c>
      <c r="F253" s="18">
        <v>292.5</v>
      </c>
      <c r="G253" s="18">
        <v>129488</v>
      </c>
      <c r="H253" s="18">
        <v>0</v>
      </c>
      <c r="I253" s="20">
        <v>0</v>
      </c>
      <c r="J253" s="18">
        <v>0</v>
      </c>
      <c r="K253" s="18">
        <v>854558</v>
      </c>
      <c r="O253" s="18"/>
    </row>
    <row r="254" spans="1:15">
      <c r="A254" s="23" t="s">
        <v>51</v>
      </c>
      <c r="B254" s="18">
        <v>55745.5</v>
      </c>
      <c r="C254" s="18">
        <v>30730.75</v>
      </c>
      <c r="D254" s="18">
        <v>426383.25</v>
      </c>
      <c r="E254" s="18">
        <v>208950</v>
      </c>
      <c r="F254" s="18">
        <v>-1119.75</v>
      </c>
      <c r="G254" s="18">
        <v>142705.75</v>
      </c>
      <c r="H254" s="18">
        <v>0</v>
      </c>
      <c r="I254" s="20">
        <v>0</v>
      </c>
      <c r="J254" s="18">
        <v>0</v>
      </c>
      <c r="K254" s="18">
        <v>863395.5</v>
      </c>
      <c r="O254" s="18"/>
    </row>
    <row r="255" spans="1:15" ht="13">
      <c r="A255" s="22" t="s">
        <v>81</v>
      </c>
      <c r="B255" s="18"/>
      <c r="C255" s="18"/>
      <c r="D255" s="18"/>
      <c r="E255" s="18"/>
      <c r="F255" s="18"/>
      <c r="G255" s="18"/>
      <c r="H255" s="18"/>
      <c r="I255" s="20"/>
      <c r="J255" s="18"/>
      <c r="K255" s="18"/>
      <c r="O255" s="18"/>
    </row>
    <row r="256" spans="1:15">
      <c r="A256" s="23" t="s">
        <v>52</v>
      </c>
      <c r="B256" s="18">
        <v>61317.4</v>
      </c>
      <c r="C256" s="18">
        <v>32426.799999999999</v>
      </c>
      <c r="D256" s="18">
        <v>406520.4</v>
      </c>
      <c r="E256" s="18">
        <v>202640</v>
      </c>
      <c r="F256" s="18">
        <v>3106</v>
      </c>
      <c r="G256" s="18">
        <v>174986</v>
      </c>
      <c r="H256" s="18">
        <v>0</v>
      </c>
      <c r="I256" s="20">
        <v>0</v>
      </c>
      <c r="J256" s="18">
        <v>0</v>
      </c>
      <c r="K256" s="18">
        <v>880996.60000000009</v>
      </c>
      <c r="O256" s="18"/>
    </row>
    <row r="257" spans="1:11" ht="15" customHeight="1">
      <c r="A257" s="23" t="s">
        <v>53</v>
      </c>
      <c r="B257" s="18">
        <v>56352.5</v>
      </c>
      <c r="C257" s="18">
        <v>32632</v>
      </c>
      <c r="D257" s="18">
        <v>413586.75</v>
      </c>
      <c r="E257" s="18">
        <v>182904</v>
      </c>
      <c r="F257" s="18">
        <v>5967.5</v>
      </c>
      <c r="G257" s="18">
        <v>199216</v>
      </c>
      <c r="H257" s="18">
        <v>0</v>
      </c>
      <c r="I257" s="20">
        <v>0</v>
      </c>
      <c r="J257" s="18">
        <v>0</v>
      </c>
      <c r="K257" s="18">
        <v>890658.75</v>
      </c>
    </row>
    <row r="258" spans="1:11">
      <c r="A258" s="23" t="s">
        <v>54</v>
      </c>
      <c r="B258" s="30">
        <v>60364.75</v>
      </c>
      <c r="C258" s="30">
        <v>33910.5</v>
      </c>
      <c r="D258" s="30">
        <v>422951</v>
      </c>
      <c r="E258" s="18">
        <v>173408</v>
      </c>
      <c r="F258" s="18">
        <v>6502.5</v>
      </c>
      <c r="G258" s="18">
        <v>218534.25</v>
      </c>
      <c r="H258" s="18">
        <v>0</v>
      </c>
      <c r="I258" s="20">
        <v>0</v>
      </c>
      <c r="J258" s="18">
        <v>0</v>
      </c>
      <c r="K258" s="30">
        <v>915671</v>
      </c>
    </row>
    <row r="259" spans="1:11">
      <c r="A259" s="23" t="s">
        <v>55</v>
      </c>
      <c r="B259" s="18">
        <v>59317</v>
      </c>
      <c r="C259" s="18">
        <v>37811.5</v>
      </c>
      <c r="D259" s="18">
        <v>409061.5</v>
      </c>
      <c r="E259" s="18">
        <v>163658</v>
      </c>
      <c r="F259" s="18">
        <v>7029.25</v>
      </c>
      <c r="G259" s="18">
        <v>228763.75</v>
      </c>
      <c r="H259" s="18">
        <v>0</v>
      </c>
      <c r="I259" s="20">
        <v>0</v>
      </c>
      <c r="J259" s="18">
        <v>0</v>
      </c>
      <c r="K259" s="18">
        <v>905641</v>
      </c>
    </row>
    <row r="260" spans="1:11">
      <c r="A260" s="23" t="s">
        <v>56</v>
      </c>
      <c r="B260" s="18">
        <v>59309.4</v>
      </c>
      <c r="C260" s="18">
        <v>37263.599999999999</v>
      </c>
      <c r="D260" s="18">
        <v>409126.8</v>
      </c>
      <c r="E260" s="18">
        <v>158604.79999999999</v>
      </c>
      <c r="F260" s="18">
        <v>5699.4</v>
      </c>
      <c r="G260" s="18">
        <v>249958.39999999999</v>
      </c>
      <c r="H260" s="18">
        <v>0</v>
      </c>
      <c r="I260" s="20">
        <v>0</v>
      </c>
      <c r="J260" s="18">
        <v>0</v>
      </c>
      <c r="K260" s="18">
        <v>919962.4</v>
      </c>
    </row>
    <row r="261" spans="1:11">
      <c r="A261" s="23" t="s">
        <v>57</v>
      </c>
      <c r="B261" s="18">
        <v>58335.25</v>
      </c>
      <c r="C261" s="18">
        <v>35207.25</v>
      </c>
      <c r="D261" s="18">
        <v>421969.25</v>
      </c>
      <c r="E261" s="18">
        <v>170400</v>
      </c>
      <c r="F261" s="18">
        <v>4877.5</v>
      </c>
      <c r="G261" s="18">
        <v>232625.5</v>
      </c>
      <c r="H261" s="18">
        <v>0</v>
      </c>
      <c r="I261" s="20">
        <v>0</v>
      </c>
      <c r="J261" s="18">
        <v>0</v>
      </c>
      <c r="K261" s="18">
        <v>923414.75</v>
      </c>
    </row>
    <row r="262" spans="1:11">
      <c r="A262" s="23" t="s">
        <v>58</v>
      </c>
      <c r="B262" s="18">
        <v>58633.599999999999</v>
      </c>
      <c r="C262" s="18">
        <v>36606</v>
      </c>
      <c r="D262" s="18">
        <v>424724.8</v>
      </c>
      <c r="E262" s="18">
        <v>187801.60000000001</v>
      </c>
      <c r="F262" s="18">
        <v>-9164.6</v>
      </c>
      <c r="G262" s="18">
        <v>191320.8</v>
      </c>
      <c r="H262" s="18">
        <v>0</v>
      </c>
      <c r="I262" s="20">
        <v>0</v>
      </c>
      <c r="J262" s="18">
        <v>0</v>
      </c>
      <c r="K262" s="18">
        <v>889922.2</v>
      </c>
    </row>
    <row r="263" spans="1:11">
      <c r="A263" s="23" t="s">
        <v>59</v>
      </c>
      <c r="B263" s="18">
        <v>53986.25</v>
      </c>
      <c r="C263" s="18">
        <v>40717.5</v>
      </c>
      <c r="D263" s="18">
        <v>420966</v>
      </c>
      <c r="E263" s="18">
        <v>188908</v>
      </c>
      <c r="F263" s="18">
        <v>-11818.75</v>
      </c>
      <c r="G263" s="18">
        <v>167970.75</v>
      </c>
      <c r="H263" s="18">
        <v>0</v>
      </c>
      <c r="I263" s="20">
        <v>0</v>
      </c>
      <c r="J263" s="18">
        <v>0</v>
      </c>
      <c r="K263" s="18">
        <v>860729.75</v>
      </c>
    </row>
    <row r="264" spans="1:11">
      <c r="A264" s="23" t="s">
        <v>67</v>
      </c>
      <c r="B264" s="18">
        <v>53931.5</v>
      </c>
      <c r="C264" s="18">
        <v>51921</v>
      </c>
      <c r="D264" s="18">
        <v>419597.5</v>
      </c>
      <c r="E264" s="18">
        <v>186158</v>
      </c>
      <c r="F264" s="20">
        <v>-558.25</v>
      </c>
      <c r="G264" s="18">
        <v>138587.75</v>
      </c>
      <c r="H264" s="18">
        <v>0</v>
      </c>
      <c r="I264" s="20">
        <v>0</v>
      </c>
      <c r="J264" s="18">
        <v>0</v>
      </c>
      <c r="K264" s="18">
        <v>849637.5</v>
      </c>
    </row>
    <row r="265" spans="1:11">
      <c r="A265" s="23" t="s">
        <v>60</v>
      </c>
      <c r="B265" s="18">
        <v>53487.4</v>
      </c>
      <c r="C265" s="18">
        <v>52012</v>
      </c>
      <c r="D265" s="18">
        <v>415944.8</v>
      </c>
      <c r="E265" s="18">
        <v>172008</v>
      </c>
      <c r="F265" s="20">
        <v>4058.6</v>
      </c>
      <c r="G265" s="18">
        <v>123532.2</v>
      </c>
      <c r="H265" s="18">
        <v>0</v>
      </c>
      <c r="I265" s="20">
        <v>0</v>
      </c>
      <c r="J265" s="18">
        <v>0</v>
      </c>
      <c r="K265" s="18">
        <v>821042.99999999988</v>
      </c>
    </row>
    <row r="266" spans="1:11">
      <c r="A266" s="23" t="s">
        <v>61</v>
      </c>
      <c r="B266" s="18">
        <v>52699.75</v>
      </c>
      <c r="C266" s="18">
        <v>35421.75</v>
      </c>
      <c r="D266" s="18">
        <v>435385.75</v>
      </c>
      <c r="E266" s="18">
        <v>168908</v>
      </c>
      <c r="F266" s="20">
        <v>4712.75</v>
      </c>
      <c r="G266" s="18">
        <v>126326.75</v>
      </c>
      <c r="H266" s="18">
        <v>0</v>
      </c>
      <c r="I266" s="20">
        <v>0</v>
      </c>
      <c r="J266" s="18">
        <v>0</v>
      </c>
      <c r="K266" s="18">
        <v>823454.75</v>
      </c>
    </row>
    <row r="267" spans="1:11">
      <c r="A267" s="23" t="s">
        <v>51</v>
      </c>
      <c r="B267" s="18">
        <v>57968.75</v>
      </c>
      <c r="C267" s="18">
        <v>38386.25</v>
      </c>
      <c r="D267" s="18">
        <v>437838.25</v>
      </c>
      <c r="E267" s="18">
        <v>179658</v>
      </c>
      <c r="F267" s="20">
        <v>5870.5</v>
      </c>
      <c r="G267" s="18">
        <v>134307.5</v>
      </c>
      <c r="H267" s="18">
        <v>0</v>
      </c>
      <c r="I267" s="20">
        <v>0</v>
      </c>
      <c r="J267" s="18">
        <v>0</v>
      </c>
      <c r="K267" s="18">
        <v>854029.25</v>
      </c>
    </row>
    <row r="268" spans="1:11" ht="13">
      <c r="A268" s="31">
        <v>2020</v>
      </c>
    </row>
    <row r="269" spans="1:11">
      <c r="A269" s="23" t="s">
        <v>52</v>
      </c>
      <c r="B269" s="18">
        <v>62942.6</v>
      </c>
      <c r="C269" s="18">
        <v>34543.800000000003</v>
      </c>
      <c r="D269" s="18">
        <v>423346.6</v>
      </c>
      <c r="E269" s="18">
        <v>171408</v>
      </c>
      <c r="F269" s="20">
        <v>17516.8</v>
      </c>
      <c r="G269" s="18">
        <v>169639</v>
      </c>
      <c r="H269" s="18">
        <v>0</v>
      </c>
      <c r="I269" s="20">
        <v>0</v>
      </c>
      <c r="J269" s="18">
        <v>0</v>
      </c>
      <c r="K269" s="18">
        <v>879396.8</v>
      </c>
    </row>
    <row r="270" spans="1:11">
      <c r="A270" s="23" t="s">
        <v>53</v>
      </c>
      <c r="B270" s="18">
        <v>57276.75</v>
      </c>
      <c r="C270" s="18">
        <v>27830.75</v>
      </c>
      <c r="D270" s="18">
        <v>426041.75</v>
      </c>
      <c r="E270" s="18">
        <v>163704</v>
      </c>
      <c r="F270" s="20">
        <v>28660.5</v>
      </c>
      <c r="G270" s="18">
        <v>180564</v>
      </c>
      <c r="H270" s="18">
        <v>0</v>
      </c>
      <c r="I270" s="20">
        <v>0</v>
      </c>
      <c r="J270" s="18">
        <v>0</v>
      </c>
      <c r="K270" s="18">
        <v>884077.75</v>
      </c>
    </row>
    <row r="271" spans="1:11">
      <c r="A271" s="23" t="s">
        <v>54</v>
      </c>
      <c r="B271" s="18">
        <v>59319.25</v>
      </c>
      <c r="C271" s="18">
        <v>31372.25</v>
      </c>
      <c r="D271" s="18">
        <v>451048</v>
      </c>
      <c r="E271" s="18">
        <v>130000</v>
      </c>
      <c r="F271" s="20">
        <v>22647</v>
      </c>
      <c r="G271" s="18">
        <v>210259</v>
      </c>
      <c r="H271" s="18">
        <v>0</v>
      </c>
      <c r="I271" s="20">
        <v>0</v>
      </c>
      <c r="J271" s="18">
        <v>0</v>
      </c>
      <c r="K271" s="18">
        <v>904645.5</v>
      </c>
    </row>
    <row r="272" spans="1:11">
      <c r="A272" s="23" t="s">
        <v>55</v>
      </c>
      <c r="B272" s="18">
        <v>63725.2</v>
      </c>
      <c r="C272" s="18">
        <v>35805.599999999999</v>
      </c>
      <c r="D272" s="18">
        <v>384243</v>
      </c>
      <c r="E272" s="18">
        <v>144800</v>
      </c>
      <c r="F272" s="20">
        <v>29341.200000000001</v>
      </c>
      <c r="G272" s="18">
        <v>201219.20000000001</v>
      </c>
      <c r="H272" s="18">
        <v>0</v>
      </c>
      <c r="I272" s="20">
        <v>0</v>
      </c>
      <c r="J272" s="18">
        <v>0</v>
      </c>
      <c r="K272" s="18">
        <v>859134.2</v>
      </c>
    </row>
    <row r="273" spans="1:11">
      <c r="A273" s="23" t="s">
        <v>56</v>
      </c>
      <c r="B273" s="18">
        <v>64484.5</v>
      </c>
      <c r="C273" s="18">
        <v>41679</v>
      </c>
      <c r="D273" s="18">
        <v>373120.75</v>
      </c>
      <c r="E273" s="18">
        <v>167500</v>
      </c>
      <c r="F273" s="20">
        <v>28355.75</v>
      </c>
      <c r="G273" s="18">
        <v>180405.75</v>
      </c>
      <c r="H273" s="18">
        <v>0</v>
      </c>
      <c r="I273" s="20">
        <v>0</v>
      </c>
      <c r="J273" s="18">
        <v>0</v>
      </c>
      <c r="K273" s="18">
        <v>855545.75</v>
      </c>
    </row>
    <row r="274" spans="1:11">
      <c r="A274" s="23" t="s">
        <v>57</v>
      </c>
      <c r="B274" s="18">
        <v>62540.75</v>
      </c>
      <c r="C274" s="18">
        <v>42860.75</v>
      </c>
      <c r="D274" s="18">
        <v>399922.5</v>
      </c>
      <c r="E274" s="18">
        <v>194000</v>
      </c>
      <c r="F274" s="20">
        <v>27504.5</v>
      </c>
      <c r="G274" s="18">
        <v>161447</v>
      </c>
      <c r="H274" s="18">
        <v>0</v>
      </c>
      <c r="I274" s="20">
        <v>0</v>
      </c>
      <c r="J274" s="18">
        <v>0</v>
      </c>
      <c r="K274" s="18">
        <v>888275.5</v>
      </c>
    </row>
    <row r="275" spans="1:11">
      <c r="A275" s="23" t="s">
        <v>58</v>
      </c>
      <c r="B275" s="18">
        <v>63574.2</v>
      </c>
      <c r="C275" s="18">
        <v>27009.200000000001</v>
      </c>
      <c r="D275" s="18">
        <v>434762.2</v>
      </c>
      <c r="E275" s="18">
        <v>207658.6</v>
      </c>
      <c r="F275" s="20">
        <v>30696.799999999999</v>
      </c>
      <c r="G275" s="18">
        <v>170707</v>
      </c>
      <c r="H275" s="18">
        <v>0</v>
      </c>
      <c r="I275" s="20">
        <v>0</v>
      </c>
      <c r="J275" s="18">
        <v>0</v>
      </c>
      <c r="K275" s="18">
        <v>934408</v>
      </c>
    </row>
    <row r="276" spans="1:11">
      <c r="A276" s="23" t="s">
        <v>59</v>
      </c>
      <c r="B276" s="18">
        <v>67918.5</v>
      </c>
      <c r="C276" s="18">
        <v>22101.25</v>
      </c>
      <c r="D276" s="18">
        <v>440402.75</v>
      </c>
      <c r="E276" s="18">
        <v>218792</v>
      </c>
      <c r="F276" s="20">
        <v>30787.25</v>
      </c>
      <c r="G276" s="18">
        <v>180717.5</v>
      </c>
      <c r="H276" s="18">
        <v>0</v>
      </c>
      <c r="I276" s="20">
        <v>0</v>
      </c>
      <c r="J276" s="18">
        <v>0</v>
      </c>
      <c r="K276" s="18">
        <v>960719.25</v>
      </c>
    </row>
    <row r="277" spans="1:11">
      <c r="A277" s="23" t="s">
        <v>67</v>
      </c>
      <c r="B277" s="18">
        <v>65273.2</v>
      </c>
      <c r="C277" s="18">
        <v>25723</v>
      </c>
      <c r="D277" s="18">
        <v>477242.8</v>
      </c>
      <c r="E277" s="18">
        <v>206492</v>
      </c>
      <c r="F277" s="20">
        <v>21243</v>
      </c>
      <c r="G277" s="18">
        <v>199335.8</v>
      </c>
      <c r="H277" s="18">
        <v>0</v>
      </c>
      <c r="I277" s="20">
        <v>0</v>
      </c>
      <c r="J277" s="18">
        <v>0</v>
      </c>
      <c r="K277" s="18">
        <v>995309.8</v>
      </c>
    </row>
    <row r="278" spans="1:11">
      <c r="A278" s="23" t="s">
        <v>60</v>
      </c>
      <c r="B278" s="18">
        <v>64731.5</v>
      </c>
      <c r="C278" s="18">
        <v>37687.25</v>
      </c>
      <c r="D278" s="18">
        <v>500594</v>
      </c>
      <c r="E278" s="18">
        <v>200589</v>
      </c>
      <c r="F278" s="20">
        <v>18102.25</v>
      </c>
      <c r="G278" s="18">
        <v>175525.25</v>
      </c>
      <c r="H278" s="18">
        <v>0</v>
      </c>
      <c r="I278" s="20">
        <v>0</v>
      </c>
      <c r="J278" s="18">
        <v>0</v>
      </c>
      <c r="K278" s="18">
        <v>997229.25</v>
      </c>
    </row>
    <row r="279" spans="1:11">
      <c r="A279" s="23" t="s">
        <v>61</v>
      </c>
      <c r="B279" s="18">
        <v>70363.25</v>
      </c>
      <c r="C279" s="18">
        <v>40673</v>
      </c>
      <c r="D279" s="18">
        <v>518466.75</v>
      </c>
      <c r="E279" s="18">
        <v>218049</v>
      </c>
      <c r="F279" s="20">
        <v>10288.25</v>
      </c>
      <c r="G279" s="18">
        <v>174355.25</v>
      </c>
      <c r="H279" s="18">
        <v>0</v>
      </c>
      <c r="I279" s="20">
        <v>0</v>
      </c>
      <c r="J279" s="18">
        <v>0</v>
      </c>
      <c r="K279" s="18">
        <v>1032195.5</v>
      </c>
    </row>
    <row r="280" spans="1:11">
      <c r="A280" s="23" t="s">
        <v>51</v>
      </c>
      <c r="B280" s="18">
        <v>69171.399999999994</v>
      </c>
      <c r="C280" s="18">
        <v>31932.2</v>
      </c>
      <c r="D280" s="18">
        <v>547952</v>
      </c>
      <c r="E280" s="18">
        <v>229863</v>
      </c>
      <c r="F280" s="18">
        <v>12393.2</v>
      </c>
      <c r="G280" s="18">
        <v>181484.79999999999</v>
      </c>
      <c r="H280" s="18">
        <v>0</v>
      </c>
      <c r="I280" s="18">
        <v>0</v>
      </c>
      <c r="J280" s="18">
        <v>0</v>
      </c>
      <c r="K280" s="18">
        <v>1072796.5999999999</v>
      </c>
    </row>
    <row r="281" spans="1:11" ht="13">
      <c r="A281" s="31">
        <v>2021</v>
      </c>
    </row>
    <row r="282" spans="1:11">
      <c r="A282" s="23" t="s">
        <v>52</v>
      </c>
      <c r="B282" s="18">
        <v>73780.75</v>
      </c>
      <c r="C282" s="18">
        <v>25732.75</v>
      </c>
      <c r="D282" s="18">
        <v>548240</v>
      </c>
      <c r="E282" s="18">
        <v>235106</v>
      </c>
      <c r="F282" s="18">
        <v>14899.5</v>
      </c>
      <c r="G282" s="18">
        <v>231372</v>
      </c>
      <c r="H282" s="18">
        <v>0</v>
      </c>
      <c r="I282" s="18">
        <v>0</v>
      </c>
      <c r="J282" s="18">
        <v>0</v>
      </c>
      <c r="K282" s="18">
        <v>1129131</v>
      </c>
    </row>
    <row r="283" spans="1:11">
      <c r="A283" s="23" t="s">
        <v>53</v>
      </c>
      <c r="B283" s="18">
        <v>67280</v>
      </c>
      <c r="C283" s="18">
        <v>23906.5</v>
      </c>
      <c r="D283" s="18">
        <v>578502.75</v>
      </c>
      <c r="E283" s="18">
        <v>226850</v>
      </c>
      <c r="F283" s="18">
        <v>17106.25</v>
      </c>
      <c r="G283" s="18">
        <v>228858</v>
      </c>
      <c r="H283" s="18">
        <v>0</v>
      </c>
      <c r="I283" s="18">
        <v>0</v>
      </c>
      <c r="J283" s="18">
        <v>0</v>
      </c>
      <c r="K283" s="18">
        <v>1142503.5</v>
      </c>
    </row>
    <row r="284" spans="1:11">
      <c r="A284" s="23" t="s">
        <v>54</v>
      </c>
      <c r="B284" s="18">
        <v>66726</v>
      </c>
      <c r="C284" s="18">
        <v>14032.8</v>
      </c>
      <c r="D284" s="18">
        <v>623462</v>
      </c>
      <c r="E284" s="18">
        <v>199239</v>
      </c>
      <c r="F284" s="18">
        <v>19976.2</v>
      </c>
      <c r="G284" s="18">
        <v>253474.2</v>
      </c>
      <c r="H284" s="18">
        <v>0</v>
      </c>
      <c r="I284" s="18">
        <v>0</v>
      </c>
      <c r="J284" s="18">
        <v>0</v>
      </c>
      <c r="K284" s="18">
        <v>1176910.2</v>
      </c>
    </row>
    <row r="285" spans="1:11">
      <c r="A285" s="23" t="s">
        <v>55</v>
      </c>
      <c r="B285" s="18">
        <v>70042.5</v>
      </c>
      <c r="C285" s="18">
        <v>33349.25</v>
      </c>
      <c r="D285" s="18">
        <v>597227.5</v>
      </c>
      <c r="E285" s="18">
        <v>216568.25</v>
      </c>
      <c r="F285" s="18">
        <v>23649.75</v>
      </c>
      <c r="G285" s="18">
        <v>276239.5</v>
      </c>
      <c r="H285" s="18">
        <v>0</v>
      </c>
      <c r="I285" s="18">
        <v>0</v>
      </c>
      <c r="J285" s="18">
        <v>0</v>
      </c>
      <c r="K285" s="18">
        <v>1217076.75</v>
      </c>
    </row>
    <row r="286" spans="1:11">
      <c r="A286" s="23" t="s">
        <v>56</v>
      </c>
      <c r="B286" s="18">
        <v>68571</v>
      </c>
      <c r="C286" s="18">
        <v>47115</v>
      </c>
      <c r="D286" s="18">
        <v>582185.5</v>
      </c>
      <c r="E286" s="18">
        <v>220673</v>
      </c>
      <c r="F286" s="18">
        <v>21843.25</v>
      </c>
      <c r="G286" s="18">
        <v>301120.5</v>
      </c>
      <c r="H286" s="18">
        <v>0</v>
      </c>
      <c r="I286" s="18">
        <v>0</v>
      </c>
      <c r="J286" s="18">
        <v>0</v>
      </c>
      <c r="K286" s="18">
        <v>1241508.25</v>
      </c>
    </row>
    <row r="287" spans="1:11">
      <c r="A287" s="23" t="s">
        <v>57</v>
      </c>
      <c r="B287" s="18">
        <v>69731.8</v>
      </c>
      <c r="C287" s="18">
        <v>46477.2</v>
      </c>
      <c r="D287" s="18">
        <v>596894.19999999995</v>
      </c>
      <c r="E287" s="18">
        <v>227209.8</v>
      </c>
      <c r="F287" s="18">
        <v>24042</v>
      </c>
      <c r="G287" s="18">
        <v>341886.6</v>
      </c>
      <c r="H287" s="18">
        <v>0</v>
      </c>
      <c r="I287" s="18">
        <v>0</v>
      </c>
      <c r="J287" s="18">
        <v>0</v>
      </c>
      <c r="K287" s="18">
        <v>1306241.6000000001</v>
      </c>
    </row>
    <row r="288" spans="1:11">
      <c r="A288" s="23" t="s">
        <v>58</v>
      </c>
      <c r="B288" s="18">
        <v>69458.25</v>
      </c>
      <c r="C288" s="18">
        <v>33987.75</v>
      </c>
      <c r="D288" s="18">
        <v>605942</v>
      </c>
      <c r="E288" s="18">
        <v>224303.75</v>
      </c>
      <c r="F288" s="18">
        <v>28990</v>
      </c>
      <c r="G288" s="18">
        <v>380941.75</v>
      </c>
      <c r="H288" s="18">
        <v>0</v>
      </c>
      <c r="I288" s="18">
        <v>0</v>
      </c>
      <c r="J288" s="18">
        <v>0</v>
      </c>
      <c r="K288" s="18">
        <v>1343623.5</v>
      </c>
    </row>
    <row r="289" spans="1:14">
      <c r="A289" s="23" t="s">
        <v>59</v>
      </c>
      <c r="B289" s="18">
        <v>71206.75</v>
      </c>
      <c r="C289" s="18">
        <v>30170.25</v>
      </c>
      <c r="D289" s="18">
        <v>587326.25</v>
      </c>
      <c r="E289" s="18">
        <v>233997</v>
      </c>
      <c r="F289" s="18">
        <v>23700.75</v>
      </c>
      <c r="G289" s="18">
        <v>398237.5</v>
      </c>
      <c r="H289" s="18">
        <v>0</v>
      </c>
      <c r="I289" s="18">
        <v>0</v>
      </c>
      <c r="J289" s="18">
        <v>0</v>
      </c>
      <c r="K289" s="18">
        <v>1344638.5</v>
      </c>
    </row>
    <row r="290" spans="1:14">
      <c r="A290" s="23" t="s">
        <v>67</v>
      </c>
      <c r="B290" s="18">
        <v>73077</v>
      </c>
      <c r="C290" s="18">
        <v>24861</v>
      </c>
      <c r="D290" s="18">
        <v>597865.19999999995</v>
      </c>
      <c r="E290" s="18">
        <v>220113.2</v>
      </c>
      <c r="F290" s="18">
        <v>25451.200000000001</v>
      </c>
      <c r="G290" s="18">
        <v>443359.8</v>
      </c>
      <c r="H290" s="18">
        <v>0</v>
      </c>
      <c r="I290" s="18">
        <v>0</v>
      </c>
      <c r="J290" s="18">
        <v>0</v>
      </c>
      <c r="K290" s="18">
        <v>1384727.4</v>
      </c>
    </row>
    <row r="291" spans="1:14">
      <c r="A291" s="23" t="s">
        <v>60</v>
      </c>
      <c r="B291" s="18">
        <v>71589.25</v>
      </c>
      <c r="C291" s="18">
        <v>29281.75</v>
      </c>
      <c r="D291" s="18">
        <v>624905.5</v>
      </c>
      <c r="E291" s="18">
        <v>174536.25</v>
      </c>
      <c r="F291" s="18">
        <v>30902</v>
      </c>
      <c r="G291" s="18">
        <v>451577.5</v>
      </c>
      <c r="H291" s="18">
        <v>0</v>
      </c>
      <c r="I291" s="18">
        <v>0</v>
      </c>
      <c r="J291" s="18">
        <v>0</v>
      </c>
      <c r="K291" s="18">
        <v>1382792.25</v>
      </c>
    </row>
    <row r="292" spans="1:14">
      <c r="A292" s="23" t="s">
        <v>61</v>
      </c>
      <c r="B292" s="18">
        <v>71094.25</v>
      </c>
      <c r="C292" s="18">
        <v>26630</v>
      </c>
      <c r="D292" s="18">
        <v>631292.5</v>
      </c>
      <c r="E292" s="18">
        <v>182262.5</v>
      </c>
      <c r="F292" s="18">
        <v>26869.25</v>
      </c>
      <c r="G292" s="18">
        <v>470609.5</v>
      </c>
      <c r="H292" s="18">
        <v>0</v>
      </c>
      <c r="I292" s="18">
        <v>0</v>
      </c>
      <c r="J292" s="18">
        <v>0</v>
      </c>
      <c r="K292" s="18">
        <v>1408758</v>
      </c>
    </row>
    <row r="293" spans="1:14">
      <c r="A293" s="23" t="s">
        <v>51</v>
      </c>
      <c r="B293" s="18">
        <v>67574.399999999994</v>
      </c>
      <c r="C293" s="18">
        <v>30170.400000000001</v>
      </c>
      <c r="D293" s="18">
        <v>644623.4</v>
      </c>
      <c r="E293" s="18">
        <v>186318</v>
      </c>
      <c r="F293" s="18">
        <v>26383.200000000001</v>
      </c>
      <c r="G293" s="18">
        <v>486987.2</v>
      </c>
      <c r="H293" s="18">
        <v>0</v>
      </c>
      <c r="I293" s="18">
        <v>0</v>
      </c>
      <c r="J293" s="18">
        <v>0</v>
      </c>
      <c r="K293" s="18">
        <v>1442056.5999999999</v>
      </c>
    </row>
    <row r="294" spans="1:14" ht="13">
      <c r="A294" s="31">
        <v>2022</v>
      </c>
      <c r="H294" s="18"/>
      <c r="I294" s="18"/>
      <c r="J294" s="18"/>
      <c r="N294" s="37"/>
    </row>
    <row r="295" spans="1:14">
      <c r="A295" s="23" t="s">
        <v>52</v>
      </c>
      <c r="B295" s="18">
        <v>74675.5</v>
      </c>
      <c r="C295" s="18">
        <v>31986.5</v>
      </c>
      <c r="D295" s="18">
        <v>592650.5</v>
      </c>
      <c r="E295" s="18">
        <v>197351.5</v>
      </c>
      <c r="F295" s="18">
        <v>33458.25</v>
      </c>
      <c r="G295" s="18">
        <v>523399.75</v>
      </c>
      <c r="H295" s="18">
        <v>0</v>
      </c>
      <c r="I295" s="18">
        <v>0</v>
      </c>
      <c r="J295" s="18">
        <v>0</v>
      </c>
      <c r="K295" s="18">
        <v>1453522</v>
      </c>
    </row>
    <row r="296" spans="1:14">
      <c r="A296" s="23" t="s">
        <v>53</v>
      </c>
      <c r="B296" s="18">
        <v>71564.5</v>
      </c>
      <c r="C296" s="18">
        <v>27448</v>
      </c>
      <c r="D296" s="18">
        <v>643823</v>
      </c>
      <c r="E296" s="18">
        <v>167024.5</v>
      </c>
      <c r="F296" s="18">
        <v>28520</v>
      </c>
      <c r="G296" s="18">
        <v>539772.5</v>
      </c>
      <c r="H296" s="18">
        <v>0</v>
      </c>
      <c r="I296" s="18">
        <v>0</v>
      </c>
      <c r="J296" s="18">
        <v>0</v>
      </c>
      <c r="K296" s="18">
        <v>1478152.5</v>
      </c>
    </row>
    <row r="297" spans="1:14">
      <c r="A297" s="23" t="s">
        <v>54</v>
      </c>
      <c r="B297" s="18">
        <v>68585.600000000006</v>
      </c>
      <c r="C297" s="18">
        <v>28799.4</v>
      </c>
      <c r="D297" s="18">
        <v>691752.8</v>
      </c>
      <c r="E297" s="18">
        <v>148700</v>
      </c>
      <c r="F297" s="18">
        <v>28046.6</v>
      </c>
      <c r="G297" s="18">
        <v>558877.4</v>
      </c>
      <c r="H297" s="18">
        <v>0</v>
      </c>
      <c r="I297" s="18">
        <v>0</v>
      </c>
      <c r="J297" s="18">
        <v>0</v>
      </c>
      <c r="K297" s="18">
        <v>1524761.8</v>
      </c>
      <c r="L297" s="18"/>
    </row>
    <row r="298" spans="1:14">
      <c r="A298" s="23" t="s">
        <v>55</v>
      </c>
      <c r="B298" s="18">
        <v>73878</v>
      </c>
      <c r="C298" s="18">
        <v>35221.75</v>
      </c>
      <c r="D298" s="18">
        <v>709952.25</v>
      </c>
      <c r="E298" s="18">
        <v>109020</v>
      </c>
      <c r="F298" s="18">
        <v>26521</v>
      </c>
      <c r="G298" s="18">
        <v>578281.75</v>
      </c>
      <c r="H298" s="18">
        <v>0</v>
      </c>
      <c r="I298" s="18">
        <v>0</v>
      </c>
      <c r="J298" s="18">
        <v>0</v>
      </c>
      <c r="K298" s="18">
        <v>1532874.75</v>
      </c>
      <c r="L298" s="18"/>
    </row>
    <row r="299" spans="1:14">
      <c r="A299" s="23" t="s">
        <v>56</v>
      </c>
      <c r="B299" s="18">
        <v>73697</v>
      </c>
      <c r="C299" s="18">
        <v>37084.75</v>
      </c>
      <c r="D299" s="18">
        <v>716483</v>
      </c>
      <c r="E299" s="18">
        <v>90520</v>
      </c>
      <c r="F299" s="18">
        <v>43052.5</v>
      </c>
      <c r="G299" s="18">
        <v>553626.75</v>
      </c>
      <c r="H299" s="18">
        <v>0</v>
      </c>
      <c r="I299" s="18">
        <v>0</v>
      </c>
      <c r="J299" s="18">
        <v>0</v>
      </c>
      <c r="K299" s="18">
        <v>1514464</v>
      </c>
      <c r="L299" s="18"/>
    </row>
    <row r="300" spans="1:14">
      <c r="A300" s="23" t="s">
        <v>57</v>
      </c>
      <c r="B300" s="18">
        <v>73875</v>
      </c>
      <c r="C300" s="18">
        <v>40101</v>
      </c>
      <c r="D300" s="18">
        <v>756667.6</v>
      </c>
      <c r="E300" s="18">
        <v>86020</v>
      </c>
      <c r="F300" s="18">
        <v>28190</v>
      </c>
      <c r="G300" s="18">
        <v>563913.6</v>
      </c>
      <c r="H300" s="18">
        <v>0</v>
      </c>
      <c r="I300" s="18">
        <v>0</v>
      </c>
      <c r="J300" s="18">
        <v>0</v>
      </c>
      <c r="K300" s="18">
        <v>1548767.2</v>
      </c>
      <c r="L300" s="18"/>
    </row>
    <row r="301" spans="1:14">
      <c r="A301" s="23" t="s">
        <v>58</v>
      </c>
      <c r="B301" s="18">
        <v>75390.25</v>
      </c>
      <c r="C301" s="18">
        <v>41624.5</v>
      </c>
      <c r="D301" s="18">
        <v>704931.25</v>
      </c>
      <c r="E301" s="18">
        <v>130299</v>
      </c>
      <c r="F301" s="18">
        <v>28706.5</v>
      </c>
      <c r="G301" s="18">
        <v>558629.25</v>
      </c>
      <c r="H301" s="18">
        <v>0</v>
      </c>
      <c r="I301" s="18">
        <v>0</v>
      </c>
      <c r="J301" s="18">
        <v>0</v>
      </c>
      <c r="K301" s="18">
        <v>1539580.75</v>
      </c>
      <c r="L301" s="18"/>
    </row>
    <row r="302" spans="1:14">
      <c r="A302" s="23" t="s">
        <v>59</v>
      </c>
      <c r="B302" s="18">
        <v>75023</v>
      </c>
      <c r="C302" s="18">
        <v>41862.199999999997</v>
      </c>
      <c r="D302" s="18">
        <v>696335.4</v>
      </c>
      <c r="E302" s="18">
        <v>114440.6</v>
      </c>
      <c r="F302" s="18">
        <v>27336.2</v>
      </c>
      <c r="G302" s="18">
        <v>541006.19999999995</v>
      </c>
      <c r="H302" s="18">
        <v>0</v>
      </c>
      <c r="I302" s="18">
        <v>0</v>
      </c>
      <c r="J302" s="18">
        <v>0</v>
      </c>
      <c r="K302" s="18">
        <v>1496003.5999999999</v>
      </c>
    </row>
    <row r="303" spans="1:14">
      <c r="A303" s="23" t="s">
        <v>67</v>
      </c>
      <c r="B303" s="20">
        <v>78564.5</v>
      </c>
      <c r="C303" s="20">
        <v>29045.75</v>
      </c>
      <c r="D303" s="20">
        <v>719547.5</v>
      </c>
      <c r="E303" s="20">
        <v>94196</v>
      </c>
      <c r="F303" s="20">
        <v>34274.5</v>
      </c>
      <c r="G303" s="20">
        <v>483416</v>
      </c>
      <c r="H303" s="18">
        <v>0</v>
      </c>
      <c r="I303" s="20">
        <v>0</v>
      </c>
      <c r="J303" s="18">
        <v>0</v>
      </c>
      <c r="K303" s="18">
        <v>1439044.25</v>
      </c>
    </row>
    <row r="304" spans="1:14">
      <c r="A304" s="23" t="s">
        <v>60</v>
      </c>
      <c r="B304" s="20">
        <v>79527.75</v>
      </c>
      <c r="C304" s="20">
        <v>30042</v>
      </c>
      <c r="D304" s="20">
        <v>720904</v>
      </c>
      <c r="E304" s="20">
        <v>97197.25</v>
      </c>
      <c r="F304" s="20">
        <v>28195.5</v>
      </c>
      <c r="G304" s="20">
        <v>461554.5</v>
      </c>
      <c r="H304" s="18">
        <v>0</v>
      </c>
      <c r="I304" s="20">
        <v>0</v>
      </c>
      <c r="J304" s="18">
        <v>0</v>
      </c>
      <c r="K304" s="18">
        <v>1417421</v>
      </c>
      <c r="L304" s="20"/>
    </row>
    <row r="305" spans="1:12">
      <c r="A305" s="23" t="s">
        <v>61</v>
      </c>
      <c r="B305" s="20">
        <v>76804.399999999994</v>
      </c>
      <c r="C305" s="20">
        <v>35548.400000000001</v>
      </c>
      <c r="D305" s="20">
        <v>720197.4</v>
      </c>
      <c r="E305" s="20">
        <v>125130.2</v>
      </c>
      <c r="F305" s="20">
        <v>26353.8</v>
      </c>
      <c r="G305" s="20">
        <v>435514</v>
      </c>
      <c r="H305" s="18">
        <v>0</v>
      </c>
      <c r="I305" s="20">
        <v>0</v>
      </c>
      <c r="J305" s="18">
        <v>0</v>
      </c>
      <c r="K305" s="18">
        <v>1419548.2</v>
      </c>
      <c r="L305" s="20"/>
    </row>
    <row r="306" spans="1:12">
      <c r="A306" s="23" t="s">
        <v>51</v>
      </c>
      <c r="B306" s="20">
        <v>72636.25</v>
      </c>
      <c r="C306" s="20">
        <v>26086.25</v>
      </c>
      <c r="D306" s="20">
        <v>740993.75</v>
      </c>
      <c r="E306" s="20">
        <v>135715</v>
      </c>
      <c r="F306" s="20">
        <v>24409.25</v>
      </c>
      <c r="G306" s="20">
        <v>467690.25</v>
      </c>
      <c r="H306" s="18">
        <v>0</v>
      </c>
      <c r="I306" s="20">
        <v>0</v>
      </c>
      <c r="J306" s="18">
        <v>0</v>
      </c>
      <c r="K306" s="18">
        <v>1467530.75</v>
      </c>
      <c r="L306" s="20"/>
    </row>
    <row r="307" spans="1:12" ht="13">
      <c r="A307" s="31">
        <v>2023</v>
      </c>
    </row>
    <row r="308" spans="1:12">
      <c r="A308" s="23" t="s">
        <v>52</v>
      </c>
      <c r="B308" s="20">
        <v>83167.25</v>
      </c>
      <c r="C308" s="20">
        <v>22315.75</v>
      </c>
      <c r="D308" s="20">
        <v>695493.25</v>
      </c>
      <c r="E308" s="20">
        <v>133089</v>
      </c>
      <c r="F308" s="20">
        <v>14022.25</v>
      </c>
      <c r="G308" s="20">
        <v>513747.75</v>
      </c>
      <c r="H308" s="18">
        <v>0</v>
      </c>
      <c r="I308" s="20">
        <v>0</v>
      </c>
      <c r="J308" s="18">
        <v>0</v>
      </c>
      <c r="K308" s="20">
        <v>1461835.25</v>
      </c>
      <c r="L308" s="20"/>
    </row>
    <row r="309" spans="1:12">
      <c r="A309" s="23" t="s">
        <v>53</v>
      </c>
      <c r="B309" s="20">
        <v>81690.5</v>
      </c>
      <c r="C309" s="20">
        <v>27847</v>
      </c>
      <c r="D309" s="20">
        <v>719311.75</v>
      </c>
      <c r="E309" s="20">
        <v>130032.75</v>
      </c>
      <c r="F309" s="20">
        <v>8503.5</v>
      </c>
      <c r="G309" s="20">
        <v>555095.75</v>
      </c>
      <c r="H309" s="18">
        <v>0</v>
      </c>
      <c r="I309" s="20">
        <v>0</v>
      </c>
      <c r="J309" s="18">
        <v>0</v>
      </c>
      <c r="K309" s="20">
        <v>1522481.25</v>
      </c>
      <c r="L309" s="20"/>
    </row>
    <row r="310" spans="1:12">
      <c r="A310" s="23" t="s">
        <v>54</v>
      </c>
      <c r="B310" s="20">
        <v>84310.399999999994</v>
      </c>
      <c r="C310" s="20">
        <v>29246.2</v>
      </c>
      <c r="D310" s="20">
        <v>754121.4</v>
      </c>
      <c r="E310" s="20">
        <v>117797</v>
      </c>
      <c r="F310" s="20">
        <v>10736.8</v>
      </c>
      <c r="G310" s="20">
        <v>574288.6</v>
      </c>
      <c r="H310" s="18">
        <v>0</v>
      </c>
      <c r="I310" s="20">
        <v>0</v>
      </c>
      <c r="J310" s="20">
        <v>11636</v>
      </c>
      <c r="K310" s="20">
        <v>1582136.4</v>
      </c>
      <c r="L310" s="20"/>
    </row>
    <row r="311" spans="1:12">
      <c r="A311" s="23" t="s">
        <v>55</v>
      </c>
      <c r="B311" s="20">
        <v>86505.25</v>
      </c>
      <c r="C311" s="20">
        <v>33461</v>
      </c>
      <c r="D311" s="20">
        <v>702568.75</v>
      </c>
      <c r="E311" s="20">
        <v>126990.5</v>
      </c>
      <c r="F311" s="20">
        <v>9608.75</v>
      </c>
      <c r="G311" s="20">
        <v>603963</v>
      </c>
      <c r="H311" s="18">
        <v>0</v>
      </c>
      <c r="I311" s="20">
        <v>0</v>
      </c>
      <c r="J311" s="20">
        <v>20129</v>
      </c>
      <c r="K311" s="20">
        <v>1583226.25</v>
      </c>
      <c r="L311" s="20"/>
    </row>
    <row r="312" spans="1:12">
      <c r="A312" s="23" t="s">
        <v>56</v>
      </c>
      <c r="B312" s="20">
        <v>89053</v>
      </c>
      <c r="C312" s="20">
        <v>24440.400000000001</v>
      </c>
      <c r="D312" s="20">
        <v>730960.8</v>
      </c>
      <c r="E312" s="20">
        <v>99330.8</v>
      </c>
      <c r="F312" s="20">
        <v>13381.2</v>
      </c>
      <c r="G312" s="20">
        <v>634117.80000000005</v>
      </c>
      <c r="H312" s="18">
        <v>0</v>
      </c>
      <c r="I312" s="20">
        <v>0</v>
      </c>
      <c r="J312" s="20">
        <v>25031.599999999999</v>
      </c>
      <c r="K312" s="20">
        <v>1616315.6</v>
      </c>
      <c r="L312" s="20"/>
    </row>
    <row r="313" spans="1:12">
      <c r="A313" s="23" t="s">
        <v>57</v>
      </c>
      <c r="B313" s="20">
        <v>89043.5</v>
      </c>
      <c r="C313" s="20">
        <v>30406.25</v>
      </c>
      <c r="D313" s="20">
        <v>719719.5</v>
      </c>
      <c r="E313" s="20">
        <v>108261.75</v>
      </c>
      <c r="F313" s="20">
        <v>20750.25</v>
      </c>
      <c r="G313" s="20">
        <v>609428</v>
      </c>
      <c r="H313" s="18">
        <v>0</v>
      </c>
      <c r="I313" s="20">
        <v>0</v>
      </c>
      <c r="J313" s="20">
        <v>24728.25</v>
      </c>
      <c r="K313" s="20">
        <v>1602337.5</v>
      </c>
      <c r="L313" s="20"/>
    </row>
    <row r="314" spans="1:12">
      <c r="A314" s="23" t="s">
        <v>58</v>
      </c>
      <c r="B314" s="20">
        <v>88763</v>
      </c>
      <c r="C314" s="20">
        <v>21834</v>
      </c>
      <c r="D314" s="20">
        <v>754572.5</v>
      </c>
      <c r="E314" s="20">
        <v>101918.75</v>
      </c>
      <c r="F314" s="20">
        <v>35391.5</v>
      </c>
      <c r="G314" s="20">
        <v>579733.5</v>
      </c>
      <c r="H314" s="18">
        <v>0</v>
      </c>
      <c r="I314" s="20">
        <v>0</v>
      </c>
      <c r="J314" s="20">
        <v>29258</v>
      </c>
      <c r="K314" s="20">
        <v>1611471.25</v>
      </c>
      <c r="L314" s="20"/>
    </row>
    <row r="315" spans="1:12">
      <c r="A315" s="23" t="s">
        <v>59</v>
      </c>
      <c r="B315" s="20">
        <v>90011.199999999997</v>
      </c>
      <c r="C315" s="20">
        <v>25945</v>
      </c>
      <c r="D315" s="20">
        <v>744246.8</v>
      </c>
      <c r="E315" s="20">
        <v>96828.6</v>
      </c>
      <c r="F315" s="20">
        <v>39802.199999999997</v>
      </c>
      <c r="G315" s="20">
        <v>565820.19999999995</v>
      </c>
      <c r="H315" s="18">
        <v>0</v>
      </c>
      <c r="I315" s="20">
        <v>0</v>
      </c>
      <c r="J315" s="20">
        <v>33088.199999999997</v>
      </c>
      <c r="K315" s="20">
        <v>1595742.2</v>
      </c>
      <c r="L315" s="20"/>
    </row>
    <row r="316" spans="1:12">
      <c r="A316" s="23" t="s">
        <v>67</v>
      </c>
      <c r="B316" s="20">
        <v>89708.75</v>
      </c>
      <c r="C316" s="20">
        <v>26955.75</v>
      </c>
      <c r="D316" s="20">
        <v>752748.25</v>
      </c>
      <c r="E316" s="20">
        <v>80282.5</v>
      </c>
      <c r="F316" s="20">
        <v>45990.5</v>
      </c>
      <c r="G316" s="20">
        <v>522831</v>
      </c>
      <c r="H316" s="18">
        <v>0</v>
      </c>
      <c r="I316" s="20">
        <v>0</v>
      </c>
      <c r="J316" s="20">
        <v>45568</v>
      </c>
      <c r="K316" s="20">
        <v>1564084.75</v>
      </c>
      <c r="L316" s="20"/>
    </row>
    <row r="317" spans="1:12">
      <c r="A317" s="23" t="s">
        <v>60</v>
      </c>
      <c r="B317" s="20">
        <v>90823</v>
      </c>
      <c r="C317" s="20">
        <v>27216</v>
      </c>
      <c r="D317" s="20">
        <v>753001.25</v>
      </c>
      <c r="E317" s="20">
        <v>69129.5</v>
      </c>
      <c r="F317" s="20">
        <v>42278.75</v>
      </c>
      <c r="G317" s="20">
        <v>497216.75</v>
      </c>
      <c r="H317" s="18">
        <v>0</v>
      </c>
      <c r="I317" s="20">
        <v>0</v>
      </c>
      <c r="J317" s="20">
        <v>58553</v>
      </c>
      <c r="K317" s="20">
        <v>1538218.25</v>
      </c>
    </row>
    <row r="318" spans="1:12">
      <c r="A318" s="23" t="s">
        <v>61</v>
      </c>
      <c r="B318" s="20">
        <v>88526.2</v>
      </c>
      <c r="C318" s="20">
        <v>28992.6</v>
      </c>
      <c r="D318" s="20">
        <v>766325.2</v>
      </c>
      <c r="E318" s="20">
        <v>94527.6</v>
      </c>
      <c r="F318" s="20">
        <v>34657.4</v>
      </c>
      <c r="G318" s="20">
        <v>456151.8</v>
      </c>
      <c r="H318" s="18">
        <v>0</v>
      </c>
      <c r="I318" s="20">
        <v>0</v>
      </c>
      <c r="J318" s="20">
        <v>68131.399999999994</v>
      </c>
      <c r="K318" s="20">
        <v>1537312.2</v>
      </c>
    </row>
    <row r="319" spans="1:12">
      <c r="A319" s="23" t="s">
        <v>51</v>
      </c>
      <c r="B319" s="20">
        <v>85942.75</v>
      </c>
      <c r="C319" s="20">
        <v>33618</v>
      </c>
      <c r="D319" s="20">
        <v>765674</v>
      </c>
      <c r="E319" s="20">
        <v>125649.25</v>
      </c>
      <c r="F319" s="20">
        <v>31375</v>
      </c>
      <c r="G319" s="20">
        <v>454284.75</v>
      </c>
      <c r="H319" s="18">
        <v>0</v>
      </c>
      <c r="I319" s="20">
        <v>0</v>
      </c>
      <c r="J319" s="20">
        <v>59635</v>
      </c>
      <c r="K319" s="20">
        <v>1556178.75</v>
      </c>
    </row>
    <row r="320" spans="1:12" ht="13">
      <c r="A320" s="31">
        <v>2024</v>
      </c>
    </row>
    <row r="321" spans="1:11">
      <c r="A321" s="23" t="s">
        <v>52</v>
      </c>
      <c r="B321" s="20">
        <v>94313.2</v>
      </c>
      <c r="C321" s="20">
        <v>36409.4</v>
      </c>
      <c r="D321" s="20">
        <v>710274.2</v>
      </c>
      <c r="E321" s="20">
        <v>142010</v>
      </c>
      <c r="F321" s="20">
        <v>24518.2</v>
      </c>
      <c r="G321" s="20">
        <v>493195.2</v>
      </c>
      <c r="H321" s="18">
        <v>0</v>
      </c>
      <c r="I321" s="20">
        <v>0</v>
      </c>
      <c r="J321" s="20">
        <v>53844</v>
      </c>
      <c r="K321" s="20">
        <v>1554564.2</v>
      </c>
    </row>
    <row r="322" spans="1:11">
      <c r="A322" s="23" t="s">
        <v>53</v>
      </c>
      <c r="B322" s="20">
        <v>89186.25</v>
      </c>
      <c r="C322" s="20">
        <v>32096</v>
      </c>
      <c r="D322" s="20">
        <v>714423.25</v>
      </c>
      <c r="E322" s="20">
        <v>143491</v>
      </c>
      <c r="F322" s="20">
        <v>19855.75</v>
      </c>
      <c r="G322" s="20">
        <v>551554.75</v>
      </c>
      <c r="H322" s="18">
        <v>0</v>
      </c>
      <c r="I322" s="20">
        <v>0</v>
      </c>
      <c r="J322" s="20">
        <v>54072.75</v>
      </c>
      <c r="K322" s="20">
        <v>1604679.75</v>
      </c>
    </row>
    <row r="323" spans="1:11">
      <c r="A323" s="23" t="s">
        <v>54</v>
      </c>
      <c r="B323" s="20">
        <v>86487.75</v>
      </c>
      <c r="C323" s="20">
        <v>37948</v>
      </c>
      <c r="D323" s="20">
        <v>738564.5</v>
      </c>
      <c r="E323" s="20">
        <v>152658.25</v>
      </c>
      <c r="F323" s="20">
        <v>14714.25</v>
      </c>
      <c r="G323" s="20">
        <v>566308.75</v>
      </c>
      <c r="H323" s="18">
        <v>0</v>
      </c>
      <c r="I323" s="20">
        <v>0</v>
      </c>
      <c r="J323" s="20">
        <v>66638</v>
      </c>
      <c r="K323" s="20">
        <v>1663319.5</v>
      </c>
    </row>
    <row r="324" spans="1:11">
      <c r="A324" s="23" t="s">
        <v>55</v>
      </c>
      <c r="B324" s="20">
        <v>90993</v>
      </c>
      <c r="C324" s="20">
        <v>31278.5</v>
      </c>
      <c r="D324" s="20">
        <v>673897.75</v>
      </c>
      <c r="E324" s="20">
        <v>154386.5</v>
      </c>
      <c r="F324" s="20">
        <v>11126.25</v>
      </c>
      <c r="G324" s="20">
        <v>632382.5</v>
      </c>
      <c r="H324" s="18">
        <v>0</v>
      </c>
      <c r="I324" s="20">
        <v>0</v>
      </c>
      <c r="J324" s="20">
        <v>65798</v>
      </c>
      <c r="K324" s="20">
        <v>1659862.5</v>
      </c>
    </row>
    <row r="325" spans="1:11">
      <c r="A325" s="23" t="s">
        <v>56</v>
      </c>
      <c r="B325" s="20">
        <v>88989.6</v>
      </c>
      <c r="C325" s="20">
        <v>28927.4</v>
      </c>
      <c r="D325" s="20">
        <v>681053.2</v>
      </c>
      <c r="E325" s="20">
        <v>169831</v>
      </c>
      <c r="F325" s="20">
        <v>11999.8</v>
      </c>
      <c r="G325" s="20">
        <v>677407.2</v>
      </c>
      <c r="H325" s="18">
        <v>0</v>
      </c>
      <c r="I325" s="20">
        <v>0</v>
      </c>
      <c r="J325" s="20">
        <v>59367</v>
      </c>
      <c r="K325" s="20">
        <v>1717575.2</v>
      </c>
    </row>
    <row r="326" spans="1:11">
      <c r="A326" s="23" t="s">
        <v>57</v>
      </c>
      <c r="B326" s="20">
        <v>90245.5</v>
      </c>
      <c r="C326" s="20">
        <v>28565.75</v>
      </c>
      <c r="D326" s="20">
        <v>693403</v>
      </c>
      <c r="E326" s="20">
        <v>191303.75</v>
      </c>
      <c r="F326" s="20">
        <v>7054</v>
      </c>
      <c r="G326" s="20">
        <v>669824</v>
      </c>
      <c r="H326" s="18">
        <v>0</v>
      </c>
      <c r="I326" s="20">
        <v>0</v>
      </c>
      <c r="J326" s="20">
        <v>77462.75</v>
      </c>
      <c r="K326" s="20">
        <v>1757858.75</v>
      </c>
    </row>
    <row r="327" spans="1:11">
      <c r="A327" s="23" t="s">
        <v>58</v>
      </c>
      <c r="B327" s="20">
        <v>91585.8</v>
      </c>
      <c r="C327" s="20">
        <v>24702.6</v>
      </c>
      <c r="D327" s="20">
        <v>732963.6</v>
      </c>
      <c r="E327" s="20">
        <v>155124.20000000001</v>
      </c>
      <c r="F327" s="20">
        <v>513</v>
      </c>
      <c r="G327" s="20">
        <v>614029.19999999995</v>
      </c>
      <c r="H327" s="18">
        <v>0</v>
      </c>
      <c r="I327" s="20">
        <v>0</v>
      </c>
      <c r="J327" s="20">
        <v>86809.8</v>
      </c>
      <c r="K327" s="20">
        <v>1705728.2</v>
      </c>
    </row>
    <row r="328" spans="1:11">
      <c r="A328" s="23" t="s">
        <v>59</v>
      </c>
      <c r="B328" s="20">
        <v>92707.75</v>
      </c>
      <c r="C328" s="20">
        <v>31768</v>
      </c>
      <c r="D328" s="20">
        <v>760260.75</v>
      </c>
      <c r="E328" s="20">
        <v>144689.25</v>
      </c>
      <c r="F328" s="20">
        <v>322.75</v>
      </c>
      <c r="G328" s="20">
        <v>597237</v>
      </c>
      <c r="H328" s="18">
        <v>0</v>
      </c>
      <c r="I328" s="20">
        <v>0</v>
      </c>
      <c r="J328" s="20">
        <v>83067</v>
      </c>
      <c r="K328" s="20">
        <v>1710052.5</v>
      </c>
    </row>
    <row r="329" spans="1:11">
      <c r="A329" s="23" t="s">
        <v>67</v>
      </c>
      <c r="B329" s="20">
        <v>91961.5</v>
      </c>
      <c r="C329" s="20">
        <v>25918</v>
      </c>
      <c r="D329" s="20">
        <v>768071.25</v>
      </c>
      <c r="E329" s="20">
        <v>138553.5</v>
      </c>
      <c r="F329" s="20">
        <v>6564.25</v>
      </c>
      <c r="G329" s="20">
        <v>573948.25</v>
      </c>
      <c r="H329" s="18">
        <v>0</v>
      </c>
      <c r="I329" s="20">
        <v>0</v>
      </c>
      <c r="J329" s="20">
        <v>84324</v>
      </c>
      <c r="K329" s="20">
        <v>1689340.75</v>
      </c>
    </row>
    <row r="330" spans="1:11">
      <c r="A330" s="23" t="s">
        <v>60</v>
      </c>
      <c r="B330" s="20">
        <v>92687.6</v>
      </c>
      <c r="C330" s="20">
        <v>25397.200000000001</v>
      </c>
      <c r="D330" s="20">
        <v>753498.6</v>
      </c>
      <c r="E330" s="20">
        <v>133273.20000000001</v>
      </c>
      <c r="F330" s="20">
        <v>16050</v>
      </c>
      <c r="G330" s="20">
        <v>542703.19999999995</v>
      </c>
      <c r="H330" s="18">
        <v>0</v>
      </c>
      <c r="I330" s="20">
        <v>0</v>
      </c>
      <c r="J330" s="20">
        <v>83926.8</v>
      </c>
      <c r="K330" s="20">
        <v>1647536.6</v>
      </c>
    </row>
    <row r="331" spans="1:11">
      <c r="A331" s="23" t="s">
        <v>61</v>
      </c>
      <c r="B331" s="20">
        <v>93023.25</v>
      </c>
      <c r="C331" s="20">
        <v>25840</v>
      </c>
      <c r="D331" s="20">
        <v>771855.75</v>
      </c>
      <c r="E331" s="20">
        <v>155056.75</v>
      </c>
      <c r="F331" s="20">
        <v>21573.75</v>
      </c>
      <c r="G331" s="20">
        <v>521506.75</v>
      </c>
      <c r="H331" s="18">
        <v>0</v>
      </c>
      <c r="I331" s="20">
        <v>0</v>
      </c>
      <c r="J331" s="20">
        <v>87510.5</v>
      </c>
      <c r="K331" s="20">
        <v>1676366.75</v>
      </c>
    </row>
    <row r="332" spans="1:11">
      <c r="A332" s="23" t="s">
        <v>51</v>
      </c>
      <c r="B332" s="20">
        <v>89253.5</v>
      </c>
      <c r="C332" s="20">
        <v>27351.5</v>
      </c>
      <c r="D332" s="20">
        <v>748053.5</v>
      </c>
      <c r="E332" s="20">
        <v>168359.75</v>
      </c>
      <c r="F332" s="20">
        <v>17377</v>
      </c>
      <c r="G332" s="20">
        <v>512884.25</v>
      </c>
      <c r="H332" s="18">
        <v>0</v>
      </c>
      <c r="I332" s="20">
        <v>0</v>
      </c>
      <c r="J332" s="20">
        <v>87096.25</v>
      </c>
      <c r="K332" s="20">
        <v>1650375.75</v>
      </c>
    </row>
    <row r="333" spans="1:11" ht="13">
      <c r="A333" s="31">
        <v>2025</v>
      </c>
    </row>
    <row r="334" spans="1:11">
      <c r="A334" s="23" t="s">
        <v>52</v>
      </c>
      <c r="B334" s="20">
        <v>94495.4</v>
      </c>
      <c r="C334" s="20">
        <v>35141.4</v>
      </c>
      <c r="D334" s="20">
        <v>721924.4</v>
      </c>
      <c r="E334" s="20">
        <v>177324.4</v>
      </c>
      <c r="F334" s="20">
        <v>18858.2</v>
      </c>
      <c r="G334" s="20">
        <v>617933.19999999995</v>
      </c>
      <c r="H334" s="18">
        <v>0</v>
      </c>
      <c r="I334" s="20">
        <v>0</v>
      </c>
      <c r="J334" s="20">
        <v>87008.6</v>
      </c>
      <c r="K334" s="20">
        <v>1752685.6</v>
      </c>
    </row>
    <row r="335" spans="1:11">
      <c r="A335" s="23" t="s">
        <v>53</v>
      </c>
      <c r="B335" s="20">
        <v>89762</v>
      </c>
      <c r="C335" s="20">
        <v>27849.25</v>
      </c>
      <c r="D335" s="20">
        <v>712373.25</v>
      </c>
      <c r="E335" s="20">
        <v>166502.5</v>
      </c>
      <c r="F335" s="20">
        <v>27498.25</v>
      </c>
      <c r="G335" s="20">
        <v>753036.25</v>
      </c>
      <c r="H335" s="18">
        <v>0</v>
      </c>
      <c r="I335" s="20">
        <v>0</v>
      </c>
      <c r="J335" s="20">
        <v>89057</v>
      </c>
      <c r="K335" s="20">
        <v>1866078.5</v>
      </c>
    </row>
    <row r="336" spans="1:11">
      <c r="A336" s="23" t="s">
        <v>54</v>
      </c>
      <c r="B336" s="20">
        <v>92409.75</v>
      </c>
      <c r="C336" s="20">
        <v>25371.25</v>
      </c>
      <c r="D336" s="20">
        <v>757433.25</v>
      </c>
      <c r="E336" s="20">
        <v>168959</v>
      </c>
      <c r="F336" s="20">
        <v>29466.5</v>
      </c>
      <c r="G336" s="20">
        <v>819066.75</v>
      </c>
      <c r="H336" s="18">
        <v>0</v>
      </c>
      <c r="I336" s="20">
        <v>0</v>
      </c>
      <c r="J336" s="20">
        <v>88008.75</v>
      </c>
      <c r="K336" s="20">
        <v>1980715.25</v>
      </c>
    </row>
    <row r="337" spans="1:11">
      <c r="A337" s="23" t="s">
        <v>55</v>
      </c>
      <c r="B337" s="20">
        <v>95791.6</v>
      </c>
      <c r="C337" s="20">
        <v>27586.2</v>
      </c>
      <c r="D337" s="20">
        <v>729708.8</v>
      </c>
      <c r="E337" s="20">
        <v>166980.20000000001</v>
      </c>
      <c r="F337" s="20">
        <v>32124.799999999999</v>
      </c>
      <c r="G337" s="20">
        <v>791404.6</v>
      </c>
      <c r="H337" s="18">
        <v>0</v>
      </c>
      <c r="I337" s="20">
        <v>0</v>
      </c>
      <c r="J337" s="20">
        <v>88113.8</v>
      </c>
      <c r="K337" s="20">
        <v>1931710.0000000002</v>
      </c>
    </row>
    <row r="338" spans="1:11">
      <c r="A338" s="23" t="s">
        <v>56</v>
      </c>
      <c r="B338" s="20">
        <v>96244.75</v>
      </c>
      <c r="C338" s="20">
        <v>30554.25</v>
      </c>
      <c r="D338" s="20">
        <v>757578.25</v>
      </c>
      <c r="E338" s="20">
        <v>188723.75</v>
      </c>
      <c r="F338" s="20">
        <v>21687.5</v>
      </c>
      <c r="G338" s="20">
        <v>759120</v>
      </c>
      <c r="H338" s="18">
        <v>0</v>
      </c>
      <c r="I338" s="20">
        <v>0</v>
      </c>
      <c r="J338" s="20">
        <v>90991.5</v>
      </c>
      <c r="K338" s="20">
        <v>1944900</v>
      </c>
    </row>
    <row r="339" spans="1:11">
      <c r="A339" s="23" t="s">
        <v>57</v>
      </c>
      <c r="B339" s="20">
        <v>94110.25</v>
      </c>
      <c r="C339" s="20">
        <v>25122</v>
      </c>
      <c r="D339" s="20">
        <v>757242.75</v>
      </c>
      <c r="E339" s="20">
        <v>226151.5</v>
      </c>
      <c r="F339" s="20">
        <v>23747.75</v>
      </c>
      <c r="G339" s="20">
        <v>715426.25</v>
      </c>
      <c r="H339" s="18">
        <v>0</v>
      </c>
      <c r="I339" s="20">
        <v>0</v>
      </c>
      <c r="J339" s="20">
        <v>87650.75</v>
      </c>
      <c r="K339" s="20">
        <v>1929451.25</v>
      </c>
    </row>
    <row r="340" spans="1:11">
      <c r="A340" s="23" t="s">
        <v>58</v>
      </c>
      <c r="B340" s="20">
        <v>105961.2</v>
      </c>
      <c r="C340" s="20">
        <v>23981.200000000001</v>
      </c>
      <c r="D340" s="20">
        <v>738426.4</v>
      </c>
      <c r="E340" s="20">
        <v>238336.4</v>
      </c>
      <c r="F340" s="20">
        <v>14932.8</v>
      </c>
      <c r="G340" s="20">
        <v>718555</v>
      </c>
      <c r="H340" s="18">
        <v>0</v>
      </c>
      <c r="I340" s="20">
        <v>0</v>
      </c>
      <c r="J340" s="20">
        <v>87626.8</v>
      </c>
      <c r="K340" s="20">
        <v>1927819.8</v>
      </c>
    </row>
    <row r="341" spans="1:11">
      <c r="A341" s="23" t="s">
        <v>59</v>
      </c>
      <c r="B341" s="20">
        <v>122157</v>
      </c>
      <c r="C341" s="20">
        <v>22102</v>
      </c>
      <c r="D341" s="20">
        <v>706890.75</v>
      </c>
      <c r="E341" s="20">
        <v>221717.5</v>
      </c>
      <c r="F341" s="20">
        <v>19991.25</v>
      </c>
      <c r="G341" s="20">
        <v>721899</v>
      </c>
      <c r="H341" s="18">
        <v>0</v>
      </c>
      <c r="I341" s="20">
        <v>0</v>
      </c>
      <c r="J341" s="20">
        <v>85959.75</v>
      </c>
      <c r="K341" s="20">
        <v>1900717.25</v>
      </c>
    </row>
    <row r="342" spans="1:11">
      <c r="A342" s="23" t="s">
        <v>67</v>
      </c>
      <c r="B342" s="20">
        <v>109327.25</v>
      </c>
      <c r="C342" s="20">
        <v>20966.25</v>
      </c>
      <c r="D342" s="20">
        <v>721385.25</v>
      </c>
      <c r="E342" s="20">
        <v>229070</v>
      </c>
      <c r="F342" s="20">
        <v>10311</v>
      </c>
      <c r="G342" s="20">
        <v>723556.25</v>
      </c>
      <c r="H342" s="18">
        <v>0</v>
      </c>
      <c r="I342" s="20">
        <v>0</v>
      </c>
      <c r="J342" s="20">
        <v>87410.75</v>
      </c>
      <c r="K342" s="20">
        <v>1902026.75</v>
      </c>
    </row>
    <row r="343" spans="1:11">
      <c r="A343" s="23" t="s">
        <v>60</v>
      </c>
      <c r="B343" s="20">
        <v>109944.6</v>
      </c>
      <c r="C343" s="20">
        <v>16740.400000000001</v>
      </c>
      <c r="D343" s="20">
        <v>718061.6</v>
      </c>
      <c r="E343" s="20">
        <v>272940.40000000002</v>
      </c>
      <c r="F343" s="20">
        <v>8861.6</v>
      </c>
      <c r="G343" s="20">
        <v>638786.80000000005</v>
      </c>
      <c r="H343" s="18">
        <v>0</v>
      </c>
      <c r="I343" s="20">
        <v>0</v>
      </c>
      <c r="J343" s="20">
        <v>82489</v>
      </c>
      <c r="K343" s="20">
        <v>1847824.4000000001</v>
      </c>
    </row>
    <row r="344" spans="1:11">
      <c r="A344" s="23" t="s">
        <v>61</v>
      </c>
      <c r="B344" s="20">
        <v>105865</v>
      </c>
      <c r="C344" s="20">
        <v>20620.5</v>
      </c>
      <c r="D344" s="20">
        <v>726894.25</v>
      </c>
      <c r="E344" s="20">
        <v>275858.5</v>
      </c>
      <c r="F344" s="20">
        <v>-9136.25</v>
      </c>
      <c r="G344" s="20">
        <v>473636.5</v>
      </c>
      <c r="H344" s="18">
        <v>0</v>
      </c>
      <c r="I344" s="20">
        <v>0</v>
      </c>
      <c r="J344" s="20">
        <v>75581.5</v>
      </c>
      <c r="K344" s="20">
        <v>1669320</v>
      </c>
    </row>
    <row r="345" spans="1:11">
      <c r="A345" s="23" t="s">
        <v>51</v>
      </c>
      <c r="B345" s="20">
        <v>108153.60000000001</v>
      </c>
      <c r="C345" s="20">
        <v>24165.8</v>
      </c>
      <c r="D345" s="20">
        <v>772729.8</v>
      </c>
      <c r="E345" s="20">
        <v>246345.60000000001</v>
      </c>
      <c r="F345" s="20">
        <v>1763.3999999999996</v>
      </c>
      <c r="G345" s="20">
        <v>452863.6</v>
      </c>
      <c r="H345" s="18">
        <v>0</v>
      </c>
      <c r="I345" s="20">
        <v>0</v>
      </c>
      <c r="J345" s="20">
        <v>70014.8</v>
      </c>
      <c r="K345" s="20">
        <v>1676036.5999999999</v>
      </c>
    </row>
    <row r="346" spans="1:11" ht="13">
      <c r="A346" s="31">
        <v>2026</v>
      </c>
    </row>
    <row r="347" spans="1:11">
      <c r="A347" s="23" t="s">
        <v>52</v>
      </c>
      <c r="B347" s="20">
        <v>103852.5</v>
      </c>
      <c r="C347" s="20">
        <v>33960.5</v>
      </c>
      <c r="D347" s="20">
        <v>842555.25</v>
      </c>
      <c r="E347" s="20">
        <v>166652.75</v>
      </c>
      <c r="F347" s="20">
        <v>-11199</v>
      </c>
      <c r="G347" s="20">
        <v>477965</v>
      </c>
      <c r="H347" s="18">
        <v>0</v>
      </c>
      <c r="I347" s="20">
        <v>0</v>
      </c>
      <c r="J347" s="20">
        <v>72848.75</v>
      </c>
      <c r="K347" s="20">
        <v>1686635.75</v>
      </c>
    </row>
    <row r="348" spans="1:11">
      <c r="A348" s="23" t="s">
        <v>53</v>
      </c>
      <c r="B348" s="20">
        <v>98798</v>
      </c>
      <c r="C348" s="20">
        <v>32386.5</v>
      </c>
      <c r="D348" s="20">
        <v>823300</v>
      </c>
      <c r="E348" s="20">
        <v>168898.5</v>
      </c>
      <c r="F348" s="20">
        <v>2391.5</v>
      </c>
      <c r="G348" s="20">
        <v>515614.25</v>
      </c>
      <c r="H348" s="18">
        <v>0</v>
      </c>
      <c r="I348" s="20">
        <v>0</v>
      </c>
      <c r="J348" s="20">
        <v>66974</v>
      </c>
      <c r="K348" s="20">
        <v>1708362.75</v>
      </c>
    </row>
    <row r="349" spans="1:11">
      <c r="A349" s="23" t="s">
        <v>54</v>
      </c>
      <c r="B349" s="20">
        <v>97463</v>
      </c>
      <c r="C349" s="20">
        <v>32219</v>
      </c>
      <c r="D349" s="20">
        <v>815954</v>
      </c>
      <c r="E349" s="20">
        <v>202148.75</v>
      </c>
      <c r="F349" s="20">
        <v>7624.75</v>
      </c>
      <c r="G349" s="20">
        <v>551634.75</v>
      </c>
      <c r="H349" s="18">
        <v>0</v>
      </c>
      <c r="I349" s="20">
        <v>0</v>
      </c>
      <c r="J349" s="20">
        <v>58727.5</v>
      </c>
      <c r="K349" s="20">
        <v>1765771.75</v>
      </c>
    </row>
    <row r="350" spans="1:11">
      <c r="A350" s="23" t="s">
        <v>55</v>
      </c>
      <c r="B350" s="20">
        <v>100565.6</v>
      </c>
      <c r="C350" s="20">
        <v>34635</v>
      </c>
      <c r="D350" s="20">
        <v>783479.4</v>
      </c>
      <c r="E350" s="20">
        <v>215986</v>
      </c>
      <c r="F350" s="20">
        <v>4603.6000000000004</v>
      </c>
      <c r="G350" s="20">
        <v>570493.19999999995</v>
      </c>
      <c r="H350" s="18">
        <v>0</v>
      </c>
      <c r="I350" s="20">
        <v>0</v>
      </c>
      <c r="J350" s="20">
        <v>58167.199999999997</v>
      </c>
      <c r="K350" s="20">
        <v>1767930</v>
      </c>
    </row>
  </sheetData>
  <mergeCells count="1">
    <mergeCell ref="A1:K1"/>
  </mergeCells>
  <phoneticPr fontId="0" type="noConversion"/>
  <printOptions horizontalCentered="1"/>
  <pageMargins left="0" right="0" top="0.5" bottom="0.5" header="0.5" footer="0.25"/>
  <pageSetup scale="71" firstPageNumber="7" orientation="landscape" useFirstPageNumber="1" r:id="rId1"/>
  <headerFooter>
    <oddHeader xml:space="preserve">&amp;C
&amp;"Century Schoolbook,Bold"&amp;11
</oddHeader>
    <oddFooter xml:space="preserve">&amp;C&amp;"Arial,Regular"&amp;P  </oddFooter>
  </headerFooter>
  <rowBreaks count="4" manualBreakCount="4">
    <brk id="46" max="16383" man="1"/>
    <brk id="85" max="16383" man="1"/>
    <brk id="124" max="16383" man="1"/>
    <brk id="163" max="16383" man="1"/>
  </rowBreaks>
  <ignoredErrors>
    <ignoredError sqref="A8 A21 A34 A47"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V24"/>
  <sheetViews>
    <sheetView showGridLines="0" topLeftCell="A10" zoomScaleNormal="100" workbookViewId="0">
      <selection activeCell="L7" sqref="L7"/>
    </sheetView>
  </sheetViews>
  <sheetFormatPr defaultColWidth="9" defaultRowHeight="15.5"/>
  <cols>
    <col min="1" max="1" width="9" style="27" customWidth="1"/>
    <col min="2" max="16384" width="9" style="27"/>
  </cols>
  <sheetData>
    <row r="1" spans="1:256" ht="18.75" customHeight="1">
      <c r="A1" s="44" t="s">
        <v>73</v>
      </c>
      <c r="B1" s="44"/>
      <c r="C1" s="44"/>
      <c r="D1" s="44"/>
      <c r="E1" s="44"/>
      <c r="F1" s="44"/>
      <c r="G1" s="44"/>
      <c r="H1" s="44"/>
      <c r="I1" s="44"/>
    </row>
    <row r="2" spans="1:256">
      <c r="A2" s="28"/>
      <c r="B2" s="29"/>
      <c r="C2" s="29"/>
      <c r="D2" s="29"/>
      <c r="E2" s="29"/>
      <c r="F2" s="29"/>
      <c r="G2" s="29"/>
      <c r="H2" s="29"/>
      <c r="I2" s="29"/>
    </row>
    <row r="3" spans="1:256" ht="76.5" customHeight="1">
      <c r="A3" s="45" t="s">
        <v>49</v>
      </c>
      <c r="B3" s="45"/>
      <c r="C3" s="45"/>
      <c r="D3" s="45"/>
      <c r="E3" s="45"/>
      <c r="F3" s="45"/>
      <c r="G3" s="45"/>
      <c r="H3" s="45"/>
      <c r="I3" s="29"/>
    </row>
    <row r="4" spans="1:256" ht="7.5" customHeight="1">
      <c r="A4" s="45" t="s">
        <v>82</v>
      </c>
      <c r="B4" s="45"/>
      <c r="C4" s="45"/>
      <c r="D4" s="45"/>
      <c r="E4" s="45"/>
      <c r="F4" s="45"/>
      <c r="G4" s="45"/>
      <c r="H4" s="45"/>
      <c r="I4" s="29"/>
    </row>
    <row r="5" spans="1:256" ht="3.75" customHeight="1">
      <c r="A5" s="45"/>
      <c r="B5" s="45"/>
      <c r="C5" s="45"/>
      <c r="D5" s="45"/>
      <c r="E5" s="45"/>
      <c r="F5" s="45"/>
      <c r="G5" s="45"/>
      <c r="H5" s="45"/>
      <c r="I5" s="29"/>
    </row>
    <row r="6" spans="1:256" ht="14.25" customHeight="1">
      <c r="A6" s="45"/>
      <c r="B6" s="45"/>
      <c r="C6" s="45"/>
      <c r="D6" s="45"/>
      <c r="E6" s="45"/>
      <c r="F6" s="45"/>
      <c r="G6" s="45"/>
      <c r="H6" s="45"/>
      <c r="I6" s="29"/>
    </row>
    <row r="7" spans="1:256" ht="14.25" customHeight="1">
      <c r="A7" s="45"/>
      <c r="B7" s="45"/>
      <c r="C7" s="45"/>
      <c r="D7" s="45"/>
      <c r="E7" s="45"/>
      <c r="F7" s="45"/>
      <c r="G7" s="45"/>
      <c r="H7" s="45"/>
      <c r="I7" s="29"/>
    </row>
    <row r="8" spans="1:256" ht="14.25" customHeight="1">
      <c r="A8" s="45"/>
      <c r="B8" s="45"/>
      <c r="C8" s="45"/>
      <c r="D8" s="45"/>
      <c r="E8" s="45"/>
      <c r="F8" s="45"/>
      <c r="G8" s="45"/>
      <c r="H8" s="45"/>
      <c r="I8" s="29"/>
    </row>
    <row r="9" spans="1:256" ht="14.25" customHeight="1">
      <c r="A9" s="45"/>
      <c r="B9" s="45"/>
      <c r="C9" s="45"/>
      <c r="D9" s="45"/>
      <c r="E9" s="45"/>
      <c r="F9" s="45"/>
      <c r="G9" s="45"/>
      <c r="H9" s="45"/>
      <c r="I9" s="29"/>
    </row>
    <row r="10" spans="1:256" ht="14.25" customHeight="1">
      <c r="A10" s="45"/>
      <c r="B10" s="45"/>
      <c r="C10" s="45"/>
      <c r="D10" s="45"/>
      <c r="E10" s="45"/>
      <c r="F10" s="45"/>
      <c r="G10" s="45"/>
      <c r="H10" s="45"/>
      <c r="I10" s="29"/>
    </row>
    <row r="11" spans="1:256" ht="14.25" customHeight="1">
      <c r="A11" s="45"/>
      <c r="B11" s="45"/>
      <c r="C11" s="45"/>
      <c r="D11" s="45"/>
      <c r="E11" s="45"/>
      <c r="F11" s="45"/>
      <c r="G11" s="45"/>
      <c r="H11" s="45"/>
      <c r="I11" s="29"/>
    </row>
    <row r="12" spans="1:256" ht="14.25" customHeight="1">
      <c r="A12" s="45"/>
      <c r="B12" s="45"/>
      <c r="C12" s="45"/>
      <c r="D12" s="45"/>
      <c r="E12" s="45"/>
      <c r="F12" s="45"/>
      <c r="G12" s="45"/>
      <c r="H12" s="45"/>
      <c r="I12" s="29"/>
    </row>
    <row r="13" spans="1:256" ht="14.25" customHeight="1">
      <c r="A13" s="45"/>
      <c r="B13" s="45"/>
      <c r="C13" s="45"/>
      <c r="D13" s="45"/>
      <c r="E13" s="45"/>
      <c r="F13" s="45"/>
      <c r="G13" s="45"/>
      <c r="H13" s="45"/>
      <c r="I13" s="29"/>
    </row>
    <row r="14" spans="1:256" ht="14.25" customHeight="1">
      <c r="A14" s="45"/>
      <c r="B14" s="45"/>
      <c r="C14" s="45"/>
      <c r="D14" s="45"/>
      <c r="E14" s="45"/>
      <c r="F14" s="45"/>
      <c r="G14" s="45"/>
      <c r="H14" s="45"/>
      <c r="I14" s="29"/>
    </row>
    <row r="15" spans="1:256" ht="48" customHeight="1">
      <c r="A15" s="45"/>
      <c r="B15" s="45"/>
      <c r="C15" s="45"/>
      <c r="D15" s="45"/>
      <c r="E15" s="45"/>
      <c r="F15" s="45"/>
      <c r="G15" s="45"/>
      <c r="H15" s="45"/>
      <c r="I15" s="29"/>
    </row>
    <row r="16" spans="1:256" ht="59.25" customHeight="1">
      <c r="A16" s="46" t="s">
        <v>75</v>
      </c>
      <c r="B16" s="46"/>
      <c r="C16" s="46"/>
      <c r="D16" s="46"/>
      <c r="E16" s="46"/>
      <c r="F16" s="46"/>
      <c r="G16" s="46"/>
      <c r="H16" s="46"/>
      <c r="I16" s="46"/>
      <c r="J16" s="46"/>
      <c r="K16" s="46"/>
      <c r="L16" s="46"/>
      <c r="M16" s="46"/>
      <c r="N16" s="46"/>
      <c r="O16" s="46"/>
      <c r="P16" s="46"/>
      <c r="Q16" s="46"/>
      <c r="R16" s="46"/>
      <c r="S16" s="46"/>
      <c r="T16" s="46"/>
      <c r="U16" s="46"/>
      <c r="V16" s="46"/>
      <c r="W16" s="46"/>
      <c r="X16" s="46"/>
      <c r="Y16" s="46"/>
      <c r="Z16" s="46"/>
      <c r="AA16" s="46"/>
      <c r="AB16" s="46"/>
      <c r="AC16" s="46"/>
      <c r="AD16" s="46"/>
      <c r="AE16" s="46"/>
      <c r="AF16" s="46"/>
      <c r="AG16" s="46"/>
      <c r="AH16" s="46"/>
      <c r="AI16" s="46"/>
      <c r="AJ16" s="46"/>
      <c r="AK16" s="46"/>
      <c r="AL16" s="46"/>
      <c r="AM16" s="46"/>
      <c r="AN16" s="46"/>
      <c r="AO16" s="46"/>
      <c r="AP16" s="46"/>
      <c r="AQ16" s="46"/>
      <c r="AR16" s="46"/>
      <c r="AS16" s="46"/>
      <c r="AT16" s="46"/>
      <c r="AU16" s="46"/>
      <c r="AV16" s="46"/>
      <c r="AW16" s="46"/>
      <c r="AX16" s="46"/>
      <c r="AY16" s="46"/>
      <c r="AZ16" s="46"/>
      <c r="BA16" s="46"/>
      <c r="BB16" s="46"/>
      <c r="BC16" s="46"/>
      <c r="BD16" s="46"/>
      <c r="BE16" s="46"/>
      <c r="BF16" s="46"/>
      <c r="BG16" s="46"/>
      <c r="BH16" s="46"/>
      <c r="BI16" s="46"/>
      <c r="BJ16" s="46"/>
      <c r="BK16" s="46"/>
      <c r="BL16" s="46"/>
      <c r="BM16" s="46"/>
      <c r="BN16" s="46"/>
      <c r="BO16" s="46"/>
      <c r="BP16" s="46"/>
      <c r="BQ16" s="46"/>
      <c r="BR16" s="46"/>
      <c r="BS16" s="46"/>
      <c r="BT16" s="46"/>
      <c r="BU16" s="46"/>
      <c r="BV16" s="46"/>
      <c r="BW16" s="46"/>
      <c r="BX16" s="46"/>
      <c r="BY16" s="46"/>
      <c r="BZ16" s="46"/>
      <c r="CA16" s="46"/>
      <c r="CB16" s="46"/>
      <c r="CC16" s="46"/>
      <c r="CD16" s="46"/>
      <c r="CE16" s="46"/>
      <c r="CF16" s="46"/>
      <c r="CG16" s="46"/>
      <c r="CH16" s="46"/>
      <c r="CI16" s="46"/>
      <c r="CJ16" s="46"/>
      <c r="CK16" s="46"/>
      <c r="CL16" s="46"/>
      <c r="CM16" s="46"/>
      <c r="CN16" s="46"/>
      <c r="CO16" s="46"/>
      <c r="CP16" s="46"/>
      <c r="CQ16" s="46"/>
      <c r="CR16" s="46"/>
      <c r="CS16" s="46"/>
      <c r="CT16" s="46"/>
      <c r="CU16" s="46"/>
      <c r="CV16" s="46"/>
      <c r="CW16" s="46"/>
      <c r="CX16" s="46"/>
      <c r="CY16" s="46"/>
      <c r="CZ16" s="46"/>
      <c r="DA16" s="46"/>
      <c r="DB16" s="46"/>
      <c r="DC16" s="46"/>
      <c r="DD16" s="46"/>
      <c r="DE16" s="46"/>
      <c r="DF16" s="46"/>
      <c r="DG16" s="46"/>
      <c r="DH16" s="46"/>
      <c r="DI16" s="46"/>
      <c r="DJ16" s="46"/>
      <c r="DK16" s="46"/>
      <c r="DL16" s="46"/>
      <c r="DM16" s="46"/>
      <c r="DN16" s="46"/>
      <c r="DO16" s="46"/>
      <c r="DP16" s="46"/>
      <c r="DQ16" s="46"/>
      <c r="DR16" s="46"/>
      <c r="DS16" s="46"/>
      <c r="DT16" s="46"/>
      <c r="DU16" s="46"/>
      <c r="DV16" s="46"/>
      <c r="DW16" s="46"/>
      <c r="DX16" s="46"/>
      <c r="DY16" s="46"/>
      <c r="DZ16" s="46"/>
      <c r="EA16" s="46"/>
      <c r="EB16" s="46"/>
      <c r="EC16" s="46"/>
      <c r="ED16" s="46"/>
      <c r="EE16" s="46"/>
      <c r="EF16" s="46"/>
      <c r="EG16" s="46"/>
      <c r="EH16" s="46"/>
      <c r="EI16" s="46"/>
      <c r="EJ16" s="46"/>
      <c r="EK16" s="46"/>
      <c r="EL16" s="46"/>
      <c r="EM16" s="46"/>
      <c r="EN16" s="46"/>
      <c r="EO16" s="46"/>
      <c r="EP16" s="46"/>
      <c r="EQ16" s="46"/>
      <c r="ER16" s="46"/>
      <c r="ES16" s="46"/>
      <c r="ET16" s="46"/>
      <c r="EU16" s="46"/>
      <c r="EV16" s="46"/>
      <c r="EW16" s="46"/>
      <c r="EX16" s="46"/>
      <c r="EY16" s="46"/>
      <c r="EZ16" s="46"/>
      <c r="FA16" s="46"/>
      <c r="FB16" s="46"/>
      <c r="FC16" s="46"/>
      <c r="FD16" s="46"/>
      <c r="FE16" s="46"/>
      <c r="FF16" s="46"/>
      <c r="FG16" s="46"/>
      <c r="FH16" s="46"/>
      <c r="FI16" s="46"/>
      <c r="FJ16" s="46"/>
      <c r="FK16" s="46"/>
      <c r="FL16" s="46"/>
      <c r="FM16" s="46"/>
      <c r="FN16" s="46"/>
      <c r="FO16" s="46"/>
      <c r="FP16" s="46"/>
      <c r="FQ16" s="46"/>
      <c r="FR16" s="46"/>
      <c r="FS16" s="46"/>
      <c r="FT16" s="46"/>
      <c r="FU16" s="46"/>
      <c r="FV16" s="46"/>
      <c r="FW16" s="46"/>
      <c r="FX16" s="46"/>
      <c r="FY16" s="46"/>
      <c r="FZ16" s="46"/>
      <c r="GA16" s="46"/>
      <c r="GB16" s="46"/>
      <c r="GC16" s="46"/>
      <c r="GD16" s="46"/>
      <c r="GE16" s="46"/>
      <c r="GF16" s="46"/>
      <c r="GG16" s="46"/>
      <c r="GH16" s="46"/>
      <c r="GI16" s="46"/>
      <c r="GJ16" s="46"/>
      <c r="GK16" s="46"/>
      <c r="GL16" s="46"/>
      <c r="GM16" s="46"/>
      <c r="GN16" s="46"/>
      <c r="GO16" s="46"/>
      <c r="GP16" s="46"/>
      <c r="GQ16" s="46"/>
      <c r="GR16" s="46"/>
      <c r="GS16" s="46"/>
      <c r="GT16" s="46"/>
      <c r="GU16" s="46"/>
      <c r="GV16" s="46"/>
      <c r="GW16" s="46"/>
      <c r="GX16" s="46"/>
      <c r="GY16" s="46"/>
      <c r="GZ16" s="46"/>
      <c r="HA16" s="46"/>
      <c r="HB16" s="46"/>
      <c r="HC16" s="46"/>
      <c r="HD16" s="46"/>
      <c r="HE16" s="46"/>
      <c r="HF16" s="46"/>
      <c r="HG16" s="46"/>
      <c r="HH16" s="46"/>
      <c r="HI16" s="46"/>
      <c r="HJ16" s="46"/>
      <c r="HK16" s="46"/>
      <c r="HL16" s="46"/>
      <c r="HM16" s="46"/>
      <c r="HN16" s="46"/>
      <c r="HO16" s="46"/>
      <c r="HP16" s="46"/>
      <c r="HQ16" s="46"/>
      <c r="HR16" s="46"/>
      <c r="HS16" s="46"/>
      <c r="HT16" s="46"/>
      <c r="HU16" s="46"/>
      <c r="HV16" s="46"/>
      <c r="HW16" s="46"/>
      <c r="HX16" s="46"/>
      <c r="HY16" s="46"/>
      <c r="HZ16" s="46"/>
      <c r="IA16" s="46"/>
      <c r="IB16" s="46"/>
      <c r="IC16" s="46"/>
      <c r="ID16" s="46"/>
      <c r="IE16" s="46"/>
      <c r="IF16" s="46"/>
      <c r="IG16" s="46"/>
      <c r="IH16" s="46"/>
      <c r="II16" s="46"/>
      <c r="IJ16" s="46"/>
      <c r="IK16" s="46"/>
      <c r="IL16" s="46"/>
      <c r="IM16" s="46"/>
      <c r="IN16" s="46"/>
      <c r="IO16" s="46"/>
      <c r="IP16" s="46"/>
      <c r="IQ16" s="46"/>
      <c r="IR16" s="46"/>
      <c r="IS16" s="46"/>
      <c r="IT16" s="46"/>
      <c r="IU16" s="46"/>
      <c r="IV16" s="46"/>
    </row>
    <row r="17" spans="1:9" ht="36" customHeight="1">
      <c r="A17" s="46" t="s">
        <v>76</v>
      </c>
      <c r="B17" s="46"/>
      <c r="C17" s="46"/>
      <c r="D17" s="46"/>
      <c r="E17" s="46"/>
      <c r="F17" s="46"/>
      <c r="G17" s="46"/>
      <c r="H17" s="46"/>
      <c r="I17" s="29"/>
    </row>
    <row r="18" spans="1:9">
      <c r="A18" s="29"/>
      <c r="B18" s="29"/>
      <c r="C18" s="29"/>
      <c r="D18" s="29"/>
      <c r="E18" s="29"/>
      <c r="F18" s="29"/>
      <c r="G18" s="29"/>
      <c r="H18" s="29"/>
      <c r="I18" s="29"/>
    </row>
    <row r="19" spans="1:9" ht="99" customHeight="1">
      <c r="A19" s="47" t="s">
        <v>77</v>
      </c>
      <c r="B19" s="47"/>
      <c r="C19" s="47"/>
      <c r="D19" s="47"/>
      <c r="E19" s="47"/>
      <c r="F19" s="47"/>
      <c r="G19" s="47"/>
      <c r="H19" s="47"/>
      <c r="I19" s="29"/>
    </row>
    <row r="20" spans="1:9">
      <c r="A20" s="42" t="s">
        <v>69</v>
      </c>
      <c r="B20" s="42"/>
      <c r="C20" s="42"/>
      <c r="D20" s="42"/>
      <c r="E20" s="42"/>
      <c r="F20" s="42"/>
      <c r="G20" s="42"/>
      <c r="H20" s="42"/>
      <c r="I20" s="29"/>
    </row>
    <row r="21" spans="1:9" ht="15" customHeight="1">
      <c r="A21" s="42" t="s">
        <v>68</v>
      </c>
      <c r="B21" s="42"/>
      <c r="C21" s="42"/>
      <c r="D21" s="42"/>
      <c r="E21" s="42"/>
      <c r="F21" s="42"/>
      <c r="G21" s="42"/>
      <c r="H21" s="42"/>
      <c r="I21" s="29"/>
    </row>
    <row r="22" spans="1:9">
      <c r="A22" s="42" t="s">
        <v>72</v>
      </c>
      <c r="B22" s="42"/>
      <c r="C22" s="42"/>
      <c r="D22" s="42"/>
      <c r="E22" s="42"/>
      <c r="F22" s="42"/>
      <c r="G22" s="42"/>
      <c r="H22" s="42"/>
      <c r="I22" s="29"/>
    </row>
    <row r="23" spans="1:9">
      <c r="A23" s="43" t="s">
        <v>70</v>
      </c>
      <c r="B23" s="43"/>
      <c r="C23" s="43"/>
      <c r="D23" s="43"/>
      <c r="E23" s="43"/>
      <c r="F23" s="43"/>
      <c r="G23" s="43"/>
      <c r="H23" s="43"/>
    </row>
    <row r="24" spans="1:9" ht="80.25" customHeight="1">
      <c r="A24" s="43" t="s">
        <v>71</v>
      </c>
      <c r="B24" s="43"/>
      <c r="C24" s="43"/>
      <c r="D24" s="43"/>
      <c r="E24" s="43"/>
      <c r="F24" s="43"/>
      <c r="G24" s="43"/>
      <c r="H24" s="43"/>
      <c r="I24" s="43"/>
    </row>
  </sheetData>
  <mergeCells count="42">
    <mergeCell ref="A19:H19"/>
    <mergeCell ref="GK16:GR16"/>
    <mergeCell ref="GS16:GZ16"/>
    <mergeCell ref="HA16:HH16"/>
    <mergeCell ref="HI16:HP16"/>
    <mergeCell ref="AG16:AN16"/>
    <mergeCell ref="AO16:AV16"/>
    <mergeCell ref="AW16:BD16"/>
    <mergeCell ref="BE16:BL16"/>
    <mergeCell ref="BM16:BT16"/>
    <mergeCell ref="Q16:X16"/>
    <mergeCell ref="HQ16:HX16"/>
    <mergeCell ref="FM16:FT16"/>
    <mergeCell ref="FU16:GB16"/>
    <mergeCell ref="GC16:GJ16"/>
    <mergeCell ref="BU16:CB16"/>
    <mergeCell ref="IG16:IN16"/>
    <mergeCell ref="IO16:IV16"/>
    <mergeCell ref="A17:H17"/>
    <mergeCell ref="HY16:IF16"/>
    <mergeCell ref="DQ16:DX16"/>
    <mergeCell ref="DY16:EF16"/>
    <mergeCell ref="EG16:EN16"/>
    <mergeCell ref="EO16:EV16"/>
    <mergeCell ref="EW16:FD16"/>
    <mergeCell ref="FE16:FL16"/>
    <mergeCell ref="CC16:CJ16"/>
    <mergeCell ref="CK16:CR16"/>
    <mergeCell ref="CS16:CZ16"/>
    <mergeCell ref="DA16:DH16"/>
    <mergeCell ref="DI16:DP16"/>
    <mergeCell ref="Y16:AF16"/>
    <mergeCell ref="A1:I1"/>
    <mergeCell ref="A3:H3"/>
    <mergeCell ref="A16:H16"/>
    <mergeCell ref="I16:P16"/>
    <mergeCell ref="A4:H15"/>
    <mergeCell ref="A20:H20"/>
    <mergeCell ref="A21:H21"/>
    <mergeCell ref="A22:H22"/>
    <mergeCell ref="A23:H23"/>
    <mergeCell ref="A24:I24"/>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7</vt:i4>
      </vt:variant>
    </vt:vector>
  </HeadingPairs>
  <TitlesOfParts>
    <vt:vector size="10" baseType="lpstr">
      <vt:lpstr>1977-1999</vt:lpstr>
      <vt:lpstr>2000-2026</vt:lpstr>
      <vt:lpstr>Notes</vt:lpstr>
      <vt:lpstr>A</vt:lpstr>
      <vt:lpstr>C_</vt:lpstr>
      <vt:lpstr>D_</vt:lpstr>
      <vt:lpstr>'2000-2026'!Print_Area</vt:lpstr>
      <vt:lpstr>Notes!Print_Area</vt:lpstr>
      <vt:lpstr>'1977-1999'!Print_Titles</vt:lpstr>
      <vt:lpstr>'2000-2026'!Print_Titles</vt:lpstr>
    </vt:vector>
  </TitlesOfParts>
  <Company>Central Bank Of Belize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elstonp</dc:creator>
  <cp:lastModifiedBy>Bryan Grant</cp:lastModifiedBy>
  <cp:lastPrinted>2017-01-11T15:18:48Z</cp:lastPrinted>
  <dcterms:created xsi:type="dcterms:W3CDTF">2001-10-02T20:30:28Z</dcterms:created>
  <dcterms:modified xsi:type="dcterms:W3CDTF">2026-06-16T16:26:59Z</dcterms:modified>
</cp:coreProperties>
</file>