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C47E647E-B135-4C69-ADA3-BAB8B93401DA}"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5" sheetId="9" r:id="rId2"/>
    <sheet name="Notes" sheetId="11" r:id="rId3"/>
  </sheets>
  <definedNames>
    <definedName name="A" localSheetId="0">'1977-2003'!#REF!</definedName>
    <definedName name="A" localSheetId="1">'2004-2025'!#REF!</definedName>
    <definedName name="A">#REF!</definedName>
    <definedName name="D" localSheetId="0">'1977-2003'!#REF!</definedName>
    <definedName name="D" localSheetId="1">'2004-2025'!#REF!</definedName>
    <definedName name="D">#REF!</definedName>
    <definedName name="OLE_LINK3" localSheetId="2">Notes!$A$7</definedName>
    <definedName name="_xlnm.Print_Area" localSheetId="0">'1977-2003'!$A$1:$Q$269</definedName>
    <definedName name="_xlnm.Print_Area" localSheetId="1">'2004-2025'!$A$126:$Q$157</definedName>
    <definedName name="Print_Area_MI" localSheetId="0">'1977-2003'!#REF!</definedName>
    <definedName name="Print_Area_MI" localSheetId="1">'2004-2025'!#REF!</definedName>
    <definedName name="_xlnm.Print_Titles" localSheetId="0">'1977-2003'!$1:$8</definedName>
    <definedName name="_xlnm.Print_Titles" localSheetId="1">'2004-2025'!$1:$8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1" i="9" l="1"/>
  <c r="F151" i="9" l="1"/>
  <c r="K151" i="9" s="1"/>
  <c r="P151" i="9"/>
  <c r="Q151" i="9" l="1"/>
  <c r="P150" i="9"/>
  <c r="M150" i="9"/>
  <c r="F150" i="9" l="1"/>
  <c r="K150" i="9" s="1"/>
  <c r="Q150" i="9" s="1"/>
  <c r="P149" i="9"/>
  <c r="M149" i="9"/>
  <c r="F149" i="9"/>
  <c r="K149" i="9" s="1"/>
  <c r="Q149" i="9" l="1"/>
  <c r="P148" i="9"/>
  <c r="M148" i="9"/>
  <c r="F148" i="9"/>
  <c r="K148" i="9" s="1"/>
  <c r="Q148" i="9" l="1"/>
  <c r="P147" i="9"/>
  <c r="M147" i="9"/>
  <c r="F147" i="9"/>
  <c r="K147" i="9" s="1"/>
  <c r="P146" i="9"/>
  <c r="M146" i="9"/>
  <c r="F146" i="9"/>
  <c r="K146" i="9" s="1"/>
  <c r="Q147" i="9" l="1"/>
  <c r="Q146" i="9"/>
  <c r="M114" i="9"/>
  <c r="P114" i="9"/>
  <c r="P145" i="9" l="1"/>
  <c r="M145" i="9"/>
  <c r="F145" i="9"/>
  <c r="K145" i="9" s="1"/>
  <c r="Q145" i="9" l="1"/>
  <c r="F144" i="9"/>
  <c r="K144" i="9" s="1"/>
  <c r="M144" i="9" l="1"/>
  <c r="P144" i="9" l="1"/>
  <c r="Q144" i="9" s="1"/>
  <c r="P143" i="9" l="1"/>
  <c r="M143" i="9"/>
  <c r="F143" i="9"/>
  <c r="K143" i="9" s="1"/>
  <c r="P20" i="6"/>
  <c r="Q20" i="6" s="1"/>
  <c r="N35" i="6"/>
  <c r="O35" i="6" s="1"/>
  <c r="D35" i="6"/>
  <c r="F35" i="6" s="1"/>
  <c r="N34" i="6"/>
  <c r="O34" i="6" s="1"/>
  <c r="K34" i="6"/>
  <c r="F34" i="6"/>
  <c r="N33" i="6"/>
  <c r="O33" i="6" s="1"/>
  <c r="K33" i="6"/>
  <c r="F33" i="6"/>
  <c r="N32" i="6"/>
  <c r="O32" i="6" s="1"/>
  <c r="K32" i="6"/>
  <c r="F32" i="6"/>
  <c r="N30" i="6"/>
  <c r="O30" i="6" s="1"/>
  <c r="D30" i="6"/>
  <c r="F30" i="6" s="1"/>
  <c r="N29" i="6"/>
  <c r="O29" i="6" s="1"/>
  <c r="K29" i="6"/>
  <c r="N28" i="6"/>
  <c r="O28" i="6" s="1"/>
  <c r="K28" i="6"/>
  <c r="N27" i="6"/>
  <c r="O27" i="6" s="1"/>
  <c r="K27" i="6"/>
  <c r="N25" i="6"/>
  <c r="O25" i="6" s="1"/>
  <c r="K25" i="6"/>
  <c r="N24" i="6"/>
  <c r="O24" i="6" s="1"/>
  <c r="K24" i="6"/>
  <c r="N23" i="6"/>
  <c r="O23" i="6" s="1"/>
  <c r="K23" i="6"/>
  <c r="N22" i="6"/>
  <c r="O22" i="6" s="1"/>
  <c r="K22" i="6"/>
  <c r="N18" i="6"/>
  <c r="K18" i="6"/>
  <c r="F18" i="6"/>
  <c r="J18" i="6" s="1"/>
  <c r="N16" i="6"/>
  <c r="K16" i="6"/>
  <c r="F16" i="6"/>
  <c r="J16" i="6" s="1"/>
  <c r="N14" i="6"/>
  <c r="K14" i="6"/>
  <c r="F14" i="6"/>
  <c r="J14" i="6" s="1"/>
  <c r="N12" i="6"/>
  <c r="K12" i="6"/>
  <c r="F12" i="6"/>
  <c r="J12" i="6" s="1"/>
  <c r="N10" i="6"/>
  <c r="K10" i="6"/>
  <c r="F10" i="6"/>
  <c r="J10" i="6" s="1"/>
  <c r="Q143" i="9" l="1"/>
  <c r="O18" i="6"/>
  <c r="P18" i="6" s="1"/>
  <c r="Q18" i="6" s="1"/>
  <c r="O10" i="6"/>
  <c r="P10" i="6" s="1"/>
  <c r="Q10" i="6" s="1"/>
  <c r="P28" i="6"/>
  <c r="Q28" i="6" s="1"/>
  <c r="P34" i="6"/>
  <c r="Q34" i="6" s="1"/>
  <c r="O16" i="6"/>
  <c r="P16" i="6" s="1"/>
  <c r="Q16" i="6" s="1"/>
  <c r="P23" i="6"/>
  <c r="Q23" i="6" s="1"/>
  <c r="P22" i="6"/>
  <c r="Q22" i="6" s="1"/>
  <c r="P33" i="6"/>
  <c r="Q33" i="6" s="1"/>
  <c r="P24" i="6"/>
  <c r="Q24" i="6" s="1"/>
  <c r="P32" i="6"/>
  <c r="Q32" i="6" s="1"/>
  <c r="P25" i="6"/>
  <c r="Q25" i="6" s="1"/>
  <c r="P27" i="6"/>
  <c r="Q27" i="6" s="1"/>
  <c r="P35" i="6"/>
  <c r="Q35" i="6" s="1"/>
  <c r="P29" i="6"/>
  <c r="Q29" i="6" s="1"/>
  <c r="P30" i="6"/>
  <c r="Q30" i="6" s="1"/>
  <c r="O12" i="6"/>
  <c r="O14" i="6"/>
  <c r="P14" i="6" s="1"/>
  <c r="Q14" i="6" s="1"/>
  <c r="M142" i="9"/>
  <c r="F142" i="9" l="1"/>
  <c r="K142" i="9" s="1"/>
  <c r="P142" i="9"/>
  <c r="Q142" i="9" l="1"/>
  <c r="M141" i="9"/>
  <c r="M140" i="9"/>
  <c r="F141" i="9"/>
  <c r="F140" i="9"/>
  <c r="P140" i="9" l="1"/>
  <c r="P141" i="9"/>
  <c r="K140" i="9"/>
  <c r="K141" i="9"/>
  <c r="M138" i="9"/>
  <c r="M137" i="9"/>
  <c r="P138" i="9"/>
  <c r="F138" i="9"/>
  <c r="F137" i="9"/>
  <c r="K137" i="9" s="1"/>
  <c r="P137" i="9"/>
  <c r="P136" i="9"/>
  <c r="F136" i="9"/>
  <c r="K136" i="9" s="1"/>
  <c r="M136" i="9"/>
  <c r="P135" i="9"/>
  <c r="M135" i="9"/>
  <c r="F135" i="9"/>
  <c r="K135" i="9" s="1"/>
  <c r="P134" i="9"/>
  <c r="M134" i="9"/>
  <c r="F134" i="9"/>
  <c r="K134" i="9" s="1"/>
  <c r="P133" i="9"/>
  <c r="M133" i="9"/>
  <c r="F133" i="9"/>
  <c r="K133" i="9" s="1"/>
  <c r="M125" i="9"/>
  <c r="M23" i="9"/>
  <c r="M24" i="9"/>
  <c r="M25" i="9"/>
  <c r="M26" i="9"/>
  <c r="M27" i="9"/>
  <c r="M28" i="9"/>
  <c r="M29" i="9"/>
  <c r="M30" i="9"/>
  <c r="M31" i="9"/>
  <c r="M32" i="9"/>
  <c r="M33" i="9"/>
  <c r="M34" i="9"/>
  <c r="M36" i="9"/>
  <c r="M37" i="9"/>
  <c r="M38" i="9"/>
  <c r="M39" i="9"/>
  <c r="M40" i="9"/>
  <c r="M41" i="9"/>
  <c r="M42" i="9"/>
  <c r="M43" i="9"/>
  <c r="M44" i="9"/>
  <c r="M45" i="9"/>
  <c r="M46" i="9"/>
  <c r="M47" i="9"/>
  <c r="M49" i="9"/>
  <c r="M50" i="9"/>
  <c r="M51" i="9"/>
  <c r="M52" i="9"/>
  <c r="M53" i="9"/>
  <c r="M54" i="9"/>
  <c r="M55" i="9"/>
  <c r="M56" i="9"/>
  <c r="M57" i="9"/>
  <c r="M58" i="9"/>
  <c r="M59" i="9"/>
  <c r="M60" i="9"/>
  <c r="M62" i="9"/>
  <c r="M63" i="9"/>
  <c r="M64" i="9"/>
  <c r="M65" i="9"/>
  <c r="M66" i="9"/>
  <c r="M67" i="9"/>
  <c r="M68" i="9"/>
  <c r="M69" i="9"/>
  <c r="M70" i="9"/>
  <c r="M71" i="9"/>
  <c r="M72" i="9"/>
  <c r="M73" i="9"/>
  <c r="M75" i="9"/>
  <c r="M76" i="9"/>
  <c r="M77" i="9"/>
  <c r="M78" i="9"/>
  <c r="M79" i="9"/>
  <c r="M80" i="9"/>
  <c r="M81" i="9"/>
  <c r="M82" i="9"/>
  <c r="M83" i="9"/>
  <c r="M84" i="9"/>
  <c r="M85" i="9"/>
  <c r="M86" i="9"/>
  <c r="M99" i="9"/>
  <c r="M98" i="9"/>
  <c r="M97" i="9"/>
  <c r="M96" i="9"/>
  <c r="M95" i="9"/>
  <c r="M94" i="9"/>
  <c r="M93" i="9"/>
  <c r="M92" i="9"/>
  <c r="M91" i="9"/>
  <c r="M90" i="9"/>
  <c r="M89" i="9"/>
  <c r="M88" i="9"/>
  <c r="M112" i="9"/>
  <c r="M115" i="9"/>
  <c r="M116" i="9"/>
  <c r="M117" i="9"/>
  <c r="M118" i="9"/>
  <c r="M119" i="9"/>
  <c r="M120" i="9"/>
  <c r="M121" i="9"/>
  <c r="M122" i="9"/>
  <c r="M123" i="9"/>
  <c r="M124" i="9"/>
  <c r="M101" i="9"/>
  <c r="P132" i="9"/>
  <c r="M132" i="9"/>
  <c r="F132" i="9"/>
  <c r="K132" i="9" s="1"/>
  <c r="P131" i="9"/>
  <c r="M131" i="9"/>
  <c r="F131" i="9"/>
  <c r="K131" i="9" s="1"/>
  <c r="P130" i="9"/>
  <c r="M130" i="9"/>
  <c r="F130" i="9"/>
  <c r="K130" i="9" s="1"/>
  <c r="P129" i="9"/>
  <c r="M129" i="9"/>
  <c r="F129" i="9"/>
  <c r="K129" i="9" s="1"/>
  <c r="P128" i="9"/>
  <c r="M128" i="9"/>
  <c r="F128" i="9"/>
  <c r="K128" i="9" s="1"/>
  <c r="P127" i="9"/>
  <c r="M127" i="9"/>
  <c r="F127" i="9"/>
  <c r="K127" i="9" s="1"/>
  <c r="P125" i="9"/>
  <c r="F125" i="9"/>
  <c r="K125" i="9" s="1"/>
  <c r="F124" i="9"/>
  <c r="K124" i="9" s="1"/>
  <c r="P124" i="9"/>
  <c r="P123" i="9"/>
  <c r="F123" i="9"/>
  <c r="K123" i="9" s="1"/>
  <c r="P122" i="9"/>
  <c r="F122" i="9"/>
  <c r="K122" i="9" s="1"/>
  <c r="P121" i="9"/>
  <c r="F121" i="9"/>
  <c r="K121" i="9" s="1"/>
  <c r="P120" i="9"/>
  <c r="F120" i="9"/>
  <c r="K120" i="9" s="1"/>
  <c r="P119" i="9"/>
  <c r="F119" i="9"/>
  <c r="K119" i="9" s="1"/>
  <c r="P118" i="9"/>
  <c r="F118" i="9"/>
  <c r="K118" i="9" s="1"/>
  <c r="P117" i="9"/>
  <c r="F117" i="9"/>
  <c r="K117" i="9" s="1"/>
  <c r="P116" i="9"/>
  <c r="F116" i="9"/>
  <c r="K116" i="9" s="1"/>
  <c r="P115" i="9"/>
  <c r="F115" i="9"/>
  <c r="K115" i="9" s="1"/>
  <c r="F114" i="9"/>
  <c r="K114" i="9" s="1"/>
  <c r="Q114" i="9" s="1"/>
  <c r="P112" i="9"/>
  <c r="F112" i="9"/>
  <c r="K112" i="9" s="1"/>
  <c r="F111" i="9"/>
  <c r="K111" i="9" s="1"/>
  <c r="P111" i="9"/>
  <c r="M111" i="9"/>
  <c r="P110" i="9"/>
  <c r="M110" i="9"/>
  <c r="F110" i="9"/>
  <c r="K110" i="9" s="1"/>
  <c r="P109" i="9"/>
  <c r="M109" i="9"/>
  <c r="F109" i="9"/>
  <c r="K109" i="9" s="1"/>
  <c r="P108" i="9"/>
  <c r="M108" i="9"/>
  <c r="F108" i="9"/>
  <c r="K108" i="9" s="1"/>
  <c r="P107" i="9"/>
  <c r="M107" i="9"/>
  <c r="F107" i="9"/>
  <c r="K107" i="9" s="1"/>
  <c r="P104" i="9"/>
  <c r="P105" i="9"/>
  <c r="P106" i="9"/>
  <c r="M104" i="9"/>
  <c r="M105" i="9"/>
  <c r="M106" i="9"/>
  <c r="F104" i="9"/>
  <c r="K104" i="9" s="1"/>
  <c r="F105" i="9"/>
  <c r="K105" i="9" s="1"/>
  <c r="F106" i="9"/>
  <c r="K106" i="9" s="1"/>
  <c r="P60" i="9"/>
  <c r="F60" i="9"/>
  <c r="K60" i="9" s="1"/>
  <c r="P59" i="9"/>
  <c r="F59" i="9"/>
  <c r="K59" i="9" s="1"/>
  <c r="P58" i="9"/>
  <c r="F58" i="9"/>
  <c r="K58" i="9" s="1"/>
  <c r="P57" i="9"/>
  <c r="F57" i="9"/>
  <c r="K57" i="9" s="1"/>
  <c r="P56" i="9"/>
  <c r="F56" i="9"/>
  <c r="K56" i="9" s="1"/>
  <c r="P55" i="9"/>
  <c r="F55" i="9"/>
  <c r="K55" i="9" s="1"/>
  <c r="P54" i="9"/>
  <c r="F54" i="9"/>
  <c r="K54" i="9" s="1"/>
  <c r="P53" i="9"/>
  <c r="F53" i="9"/>
  <c r="K53" i="9" s="1"/>
  <c r="P52" i="9"/>
  <c r="F52" i="9"/>
  <c r="K52" i="9" s="1"/>
  <c r="P51" i="9"/>
  <c r="F51" i="9"/>
  <c r="K51" i="9" s="1"/>
  <c r="P50" i="9"/>
  <c r="F50" i="9"/>
  <c r="K50" i="9" s="1"/>
  <c r="P49" i="9"/>
  <c r="F49" i="9"/>
  <c r="K49" i="9" s="1"/>
  <c r="P47" i="9"/>
  <c r="F47" i="9"/>
  <c r="K47" i="9" s="1"/>
  <c r="P46" i="9"/>
  <c r="F46" i="9"/>
  <c r="K46" i="9" s="1"/>
  <c r="P45" i="9"/>
  <c r="F45" i="9"/>
  <c r="K45" i="9" s="1"/>
  <c r="P44" i="9"/>
  <c r="F44" i="9"/>
  <c r="K44" i="9" s="1"/>
  <c r="P43" i="9"/>
  <c r="F43" i="9"/>
  <c r="K43" i="9" s="1"/>
  <c r="P42" i="9"/>
  <c r="F42" i="9"/>
  <c r="K42" i="9" s="1"/>
  <c r="P41" i="9"/>
  <c r="F41" i="9"/>
  <c r="K41" i="9" s="1"/>
  <c r="P40" i="9"/>
  <c r="F40" i="9"/>
  <c r="K40" i="9" s="1"/>
  <c r="P39" i="9"/>
  <c r="F39" i="9"/>
  <c r="K39" i="9" s="1"/>
  <c r="P38" i="9"/>
  <c r="F38" i="9"/>
  <c r="K38" i="9" s="1"/>
  <c r="P37" i="9"/>
  <c r="F37" i="9"/>
  <c r="K37" i="9" s="1"/>
  <c r="P36" i="9"/>
  <c r="F36" i="9"/>
  <c r="K36" i="9" s="1"/>
  <c r="P34" i="9"/>
  <c r="F34" i="9"/>
  <c r="K34" i="9" s="1"/>
  <c r="P33" i="9"/>
  <c r="F33" i="9"/>
  <c r="K33" i="9" s="1"/>
  <c r="P32" i="9"/>
  <c r="F32" i="9"/>
  <c r="K32" i="9" s="1"/>
  <c r="P31" i="9"/>
  <c r="F31" i="9"/>
  <c r="K31" i="9" s="1"/>
  <c r="P30" i="9"/>
  <c r="F30" i="9"/>
  <c r="K30" i="9" s="1"/>
  <c r="P29" i="9"/>
  <c r="F29" i="9"/>
  <c r="K29" i="9" s="1"/>
  <c r="P28" i="9"/>
  <c r="F28" i="9"/>
  <c r="K28" i="9" s="1"/>
  <c r="P27" i="9"/>
  <c r="F27" i="9"/>
  <c r="K27" i="9" s="1"/>
  <c r="P26" i="9"/>
  <c r="F26" i="9"/>
  <c r="K26" i="9" s="1"/>
  <c r="P25" i="9"/>
  <c r="F25" i="9"/>
  <c r="K25" i="9" s="1"/>
  <c r="P24" i="9"/>
  <c r="F24" i="9"/>
  <c r="K24" i="9" s="1"/>
  <c r="P23" i="9"/>
  <c r="F23" i="9"/>
  <c r="K23" i="9" s="1"/>
  <c r="P21" i="9"/>
  <c r="M21" i="9"/>
  <c r="F21" i="9"/>
  <c r="K21" i="9" s="1"/>
  <c r="P20" i="9"/>
  <c r="M20" i="9"/>
  <c r="F20" i="9"/>
  <c r="K20" i="9" s="1"/>
  <c r="P19" i="9"/>
  <c r="M19" i="9"/>
  <c r="F19" i="9"/>
  <c r="K19" i="9" s="1"/>
  <c r="P18" i="9"/>
  <c r="M18" i="9"/>
  <c r="F18" i="9"/>
  <c r="K18" i="9" s="1"/>
  <c r="P17" i="9"/>
  <c r="M17" i="9"/>
  <c r="F17" i="9"/>
  <c r="K17" i="9" s="1"/>
  <c r="P16" i="9"/>
  <c r="M16" i="9"/>
  <c r="F16" i="9"/>
  <c r="K16" i="9" s="1"/>
  <c r="P15" i="9"/>
  <c r="M15" i="9"/>
  <c r="F15" i="9"/>
  <c r="K15" i="9" s="1"/>
  <c r="P14" i="9"/>
  <c r="M14" i="9"/>
  <c r="F14" i="9"/>
  <c r="K14" i="9" s="1"/>
  <c r="P13" i="9"/>
  <c r="M13" i="9"/>
  <c r="F13" i="9"/>
  <c r="K13" i="9" s="1"/>
  <c r="P12" i="9"/>
  <c r="M12" i="9"/>
  <c r="F12" i="9"/>
  <c r="K12" i="9" s="1"/>
  <c r="P11" i="9"/>
  <c r="M11" i="9"/>
  <c r="F11" i="9"/>
  <c r="K11" i="9" s="1"/>
  <c r="P10" i="9"/>
  <c r="M10" i="9"/>
  <c r="F10" i="9"/>
  <c r="K10" i="9" s="1"/>
  <c r="P103" i="9"/>
  <c r="M103" i="9"/>
  <c r="F103" i="9"/>
  <c r="K103" i="9" s="1"/>
  <c r="P102" i="9"/>
  <c r="M102" i="9"/>
  <c r="F102" i="9"/>
  <c r="K102" i="9" s="1"/>
  <c r="P101" i="9"/>
  <c r="F101" i="9"/>
  <c r="K101" i="9" s="1"/>
  <c r="P269" i="6"/>
  <c r="M269" i="6"/>
  <c r="F269" i="6"/>
  <c r="L269" i="6" s="1"/>
  <c r="P268" i="6"/>
  <c r="M268" i="6"/>
  <c r="F268" i="6"/>
  <c r="L268" i="6" s="1"/>
  <c r="P267" i="6"/>
  <c r="M267" i="6"/>
  <c r="F267" i="6"/>
  <c r="L267" i="6" s="1"/>
  <c r="P266" i="6"/>
  <c r="M266" i="6"/>
  <c r="F266" i="6"/>
  <c r="L266" i="6" s="1"/>
  <c r="P265" i="6"/>
  <c r="M265" i="6"/>
  <c r="F265" i="6"/>
  <c r="L265" i="6" s="1"/>
  <c r="P264" i="6"/>
  <c r="M264" i="6"/>
  <c r="F264" i="6"/>
  <c r="L264" i="6" s="1"/>
  <c r="P263" i="6"/>
  <c r="M263" i="6"/>
  <c r="F263" i="6"/>
  <c r="L263" i="6" s="1"/>
  <c r="P262" i="6"/>
  <c r="M262" i="6"/>
  <c r="F262" i="6"/>
  <c r="L262" i="6" s="1"/>
  <c r="P261" i="6"/>
  <c r="M261" i="6"/>
  <c r="F261" i="6"/>
  <c r="L261" i="6" s="1"/>
  <c r="P260" i="6"/>
  <c r="M260" i="6"/>
  <c r="F260" i="6"/>
  <c r="L260" i="6" s="1"/>
  <c r="P259" i="6"/>
  <c r="M259" i="6"/>
  <c r="F259" i="6"/>
  <c r="L259" i="6" s="1"/>
  <c r="P258" i="6"/>
  <c r="M258" i="6"/>
  <c r="F258" i="6"/>
  <c r="L258" i="6" s="1"/>
  <c r="P256" i="6"/>
  <c r="M256" i="6"/>
  <c r="F256" i="6"/>
  <c r="L256" i="6" s="1"/>
  <c r="P255" i="6"/>
  <c r="M255" i="6"/>
  <c r="F255" i="6"/>
  <c r="L255" i="6" s="1"/>
  <c r="P254" i="6"/>
  <c r="M254" i="6"/>
  <c r="F254" i="6"/>
  <c r="L254" i="6" s="1"/>
  <c r="P253" i="6"/>
  <c r="M253" i="6"/>
  <c r="F253" i="6"/>
  <c r="L253" i="6" s="1"/>
  <c r="P252" i="6"/>
  <c r="M252" i="6"/>
  <c r="F252" i="6"/>
  <c r="L252" i="6" s="1"/>
  <c r="P251" i="6"/>
  <c r="M251" i="6"/>
  <c r="F251" i="6"/>
  <c r="L251" i="6" s="1"/>
  <c r="P250" i="6"/>
  <c r="M250" i="6"/>
  <c r="F250" i="6"/>
  <c r="L250" i="6" s="1"/>
  <c r="P249" i="6"/>
  <c r="M249" i="6"/>
  <c r="F249" i="6"/>
  <c r="L249" i="6" s="1"/>
  <c r="P248" i="6"/>
  <c r="M248" i="6"/>
  <c r="F248" i="6"/>
  <c r="L248" i="6" s="1"/>
  <c r="P247" i="6"/>
  <c r="M247" i="6"/>
  <c r="F247" i="6"/>
  <c r="L247" i="6" s="1"/>
  <c r="P246" i="6"/>
  <c r="M246" i="6"/>
  <c r="F246" i="6"/>
  <c r="L246" i="6" s="1"/>
  <c r="P245" i="6"/>
  <c r="M245" i="6"/>
  <c r="F245" i="6"/>
  <c r="L245" i="6" s="1"/>
  <c r="P243" i="6"/>
  <c r="M243" i="6"/>
  <c r="F243" i="6"/>
  <c r="L243" i="6" s="1"/>
  <c r="P242" i="6"/>
  <c r="M242" i="6"/>
  <c r="F242" i="6"/>
  <c r="L242" i="6" s="1"/>
  <c r="P241" i="6"/>
  <c r="M241" i="6"/>
  <c r="F241" i="6"/>
  <c r="L241" i="6" s="1"/>
  <c r="P240" i="6"/>
  <c r="M240" i="6"/>
  <c r="F240" i="6"/>
  <c r="L240" i="6" s="1"/>
  <c r="P239" i="6"/>
  <c r="M239" i="6"/>
  <c r="F239" i="6"/>
  <c r="L239" i="6" s="1"/>
  <c r="P238" i="6"/>
  <c r="M238" i="6"/>
  <c r="F238" i="6"/>
  <c r="L238" i="6" s="1"/>
  <c r="P237" i="6"/>
  <c r="M237" i="6"/>
  <c r="F237" i="6"/>
  <c r="L237" i="6" s="1"/>
  <c r="P236" i="6"/>
  <c r="M236" i="6"/>
  <c r="F236" i="6"/>
  <c r="L236" i="6" s="1"/>
  <c r="P235" i="6"/>
  <c r="M235" i="6"/>
  <c r="F235" i="6"/>
  <c r="L235" i="6" s="1"/>
  <c r="P234" i="6"/>
  <c r="M234" i="6"/>
  <c r="F234" i="6"/>
  <c r="L234" i="6" s="1"/>
  <c r="P233" i="6"/>
  <c r="M233" i="6"/>
  <c r="F233" i="6"/>
  <c r="L233" i="6" s="1"/>
  <c r="P232" i="6"/>
  <c r="M232" i="6"/>
  <c r="F232" i="6"/>
  <c r="L232" i="6" s="1"/>
  <c r="P230" i="6"/>
  <c r="D230" i="6"/>
  <c r="P229" i="6"/>
  <c r="D229" i="6"/>
  <c r="M229" i="6" s="1"/>
  <c r="P228" i="6"/>
  <c r="D228" i="6"/>
  <c r="M228" i="6" s="1"/>
  <c r="P227" i="6"/>
  <c r="M227" i="6"/>
  <c r="F227" i="6"/>
  <c r="L227" i="6" s="1"/>
  <c r="P226" i="6"/>
  <c r="M226" i="6"/>
  <c r="F226" i="6"/>
  <c r="L226" i="6" s="1"/>
  <c r="P225" i="6"/>
  <c r="M225" i="6"/>
  <c r="F225" i="6"/>
  <c r="L225" i="6" s="1"/>
  <c r="P224" i="6"/>
  <c r="M224" i="6"/>
  <c r="F224" i="6"/>
  <c r="L224" i="6" s="1"/>
  <c r="P223" i="6"/>
  <c r="M223" i="6"/>
  <c r="F223" i="6"/>
  <c r="L223" i="6" s="1"/>
  <c r="P222" i="6"/>
  <c r="M222" i="6"/>
  <c r="F222" i="6"/>
  <c r="L222" i="6" s="1"/>
  <c r="P221" i="6"/>
  <c r="M221" i="6"/>
  <c r="F221" i="6"/>
  <c r="L221" i="6" s="1"/>
  <c r="P220" i="6"/>
  <c r="M220" i="6"/>
  <c r="F220" i="6"/>
  <c r="L220" i="6" s="1"/>
  <c r="P219" i="6"/>
  <c r="M219" i="6"/>
  <c r="F219" i="6"/>
  <c r="L219" i="6" s="1"/>
  <c r="P217" i="6"/>
  <c r="M217" i="6"/>
  <c r="F217" i="6"/>
  <c r="L217" i="6" s="1"/>
  <c r="P216" i="6"/>
  <c r="M216" i="6"/>
  <c r="F216" i="6"/>
  <c r="L216" i="6" s="1"/>
  <c r="P215" i="6"/>
  <c r="M215" i="6"/>
  <c r="F215" i="6"/>
  <c r="L215" i="6" s="1"/>
  <c r="P214" i="6"/>
  <c r="M214" i="6"/>
  <c r="F214" i="6"/>
  <c r="L214" i="6" s="1"/>
  <c r="P213" i="6"/>
  <c r="M213" i="6"/>
  <c r="F213" i="6"/>
  <c r="L213" i="6" s="1"/>
  <c r="P212" i="6"/>
  <c r="M212" i="6"/>
  <c r="F212" i="6"/>
  <c r="L212" i="6" s="1"/>
  <c r="P211" i="6"/>
  <c r="M211" i="6"/>
  <c r="F211" i="6"/>
  <c r="L211" i="6" s="1"/>
  <c r="P210" i="6"/>
  <c r="M210" i="6"/>
  <c r="F210" i="6"/>
  <c r="L210" i="6" s="1"/>
  <c r="P209" i="6"/>
  <c r="M209" i="6"/>
  <c r="F209" i="6"/>
  <c r="L209" i="6" s="1"/>
  <c r="P208" i="6"/>
  <c r="M208" i="6"/>
  <c r="F208" i="6"/>
  <c r="L208" i="6" s="1"/>
  <c r="P207" i="6"/>
  <c r="M207" i="6"/>
  <c r="F207" i="6"/>
  <c r="L207" i="6" s="1"/>
  <c r="P206" i="6"/>
  <c r="M206" i="6"/>
  <c r="F206" i="6"/>
  <c r="L206" i="6" s="1"/>
  <c r="P204" i="6"/>
  <c r="M204" i="6"/>
  <c r="F204" i="6"/>
  <c r="L204" i="6" s="1"/>
  <c r="P203" i="6"/>
  <c r="M203" i="6"/>
  <c r="F203" i="6"/>
  <c r="L203" i="6" s="1"/>
  <c r="P202" i="6"/>
  <c r="M202" i="6"/>
  <c r="F202" i="6"/>
  <c r="L202" i="6" s="1"/>
  <c r="P201" i="6"/>
  <c r="M201" i="6"/>
  <c r="F201" i="6"/>
  <c r="L201" i="6" s="1"/>
  <c r="P200" i="6"/>
  <c r="M200" i="6"/>
  <c r="F200" i="6"/>
  <c r="L200" i="6" s="1"/>
  <c r="P199" i="6"/>
  <c r="M199" i="6"/>
  <c r="F199" i="6"/>
  <c r="L199" i="6" s="1"/>
  <c r="P198" i="6"/>
  <c r="M198" i="6"/>
  <c r="F198" i="6"/>
  <c r="L198" i="6" s="1"/>
  <c r="P197" i="6"/>
  <c r="M197" i="6"/>
  <c r="F197" i="6"/>
  <c r="L197" i="6" s="1"/>
  <c r="P196" i="6"/>
  <c r="M196" i="6"/>
  <c r="F196" i="6"/>
  <c r="L196" i="6" s="1"/>
  <c r="P195" i="6"/>
  <c r="M195" i="6"/>
  <c r="F195" i="6"/>
  <c r="L195" i="6" s="1"/>
  <c r="P194" i="6"/>
  <c r="M194" i="6"/>
  <c r="L194" i="6"/>
  <c r="P193" i="6"/>
  <c r="M193" i="6"/>
  <c r="F193" i="6"/>
  <c r="L193" i="6" s="1"/>
  <c r="P191" i="6"/>
  <c r="M191" i="6"/>
  <c r="F191" i="6"/>
  <c r="L191" i="6" s="1"/>
  <c r="P190" i="6"/>
  <c r="M190" i="6"/>
  <c r="F190" i="6"/>
  <c r="L190" i="6" s="1"/>
  <c r="P189" i="6"/>
  <c r="M189" i="6"/>
  <c r="F189" i="6"/>
  <c r="L189" i="6" s="1"/>
  <c r="P188" i="6"/>
  <c r="M188" i="6"/>
  <c r="F188" i="6"/>
  <c r="L188" i="6" s="1"/>
  <c r="P187" i="6"/>
  <c r="M187" i="6"/>
  <c r="F187" i="6"/>
  <c r="L187" i="6" s="1"/>
  <c r="P186" i="6"/>
  <c r="M186" i="6"/>
  <c r="F186" i="6"/>
  <c r="L186" i="6" s="1"/>
  <c r="P185" i="6"/>
  <c r="M185" i="6"/>
  <c r="F185" i="6"/>
  <c r="L185" i="6" s="1"/>
  <c r="P184" i="6"/>
  <c r="M184" i="6"/>
  <c r="F184" i="6"/>
  <c r="L184" i="6" s="1"/>
  <c r="P183" i="6"/>
  <c r="M183" i="6"/>
  <c r="F183" i="6"/>
  <c r="L183" i="6" s="1"/>
  <c r="P182" i="6"/>
  <c r="M182" i="6"/>
  <c r="F182" i="6"/>
  <c r="L182" i="6" s="1"/>
  <c r="P181" i="6"/>
  <c r="M181" i="6"/>
  <c r="L181" i="6"/>
  <c r="P180" i="6"/>
  <c r="M180" i="6"/>
  <c r="F180" i="6"/>
  <c r="L180" i="6" s="1"/>
  <c r="P178" i="6"/>
  <c r="M178" i="6"/>
  <c r="F178" i="6"/>
  <c r="L178" i="6" s="1"/>
  <c r="P177" i="6"/>
  <c r="M177" i="6"/>
  <c r="F177" i="6"/>
  <c r="L177" i="6" s="1"/>
  <c r="P176" i="6"/>
  <c r="M176" i="6"/>
  <c r="F176" i="6"/>
  <c r="L176" i="6" s="1"/>
  <c r="P175" i="6"/>
  <c r="M175" i="6"/>
  <c r="F175" i="6"/>
  <c r="L175" i="6" s="1"/>
  <c r="P174" i="6"/>
  <c r="M174" i="6"/>
  <c r="F174" i="6"/>
  <c r="L174" i="6" s="1"/>
  <c r="P173" i="6"/>
  <c r="M173" i="6"/>
  <c r="F173" i="6"/>
  <c r="L173" i="6" s="1"/>
  <c r="P172" i="6"/>
  <c r="M172" i="6"/>
  <c r="F172" i="6"/>
  <c r="L172" i="6" s="1"/>
  <c r="P171" i="6"/>
  <c r="M171" i="6"/>
  <c r="F171" i="6"/>
  <c r="L171" i="6" s="1"/>
  <c r="P170" i="6"/>
  <c r="M170" i="6"/>
  <c r="F170" i="6"/>
  <c r="L170" i="6" s="1"/>
  <c r="P169" i="6"/>
  <c r="M169" i="6"/>
  <c r="F169" i="6"/>
  <c r="L169" i="6" s="1"/>
  <c r="P168" i="6"/>
  <c r="M168" i="6"/>
  <c r="F168" i="6"/>
  <c r="L168" i="6" s="1"/>
  <c r="P167" i="6"/>
  <c r="M167" i="6"/>
  <c r="F167" i="6"/>
  <c r="L167" i="6" s="1"/>
  <c r="P165" i="6"/>
  <c r="E165" i="6"/>
  <c r="D165" i="6"/>
  <c r="M165" i="6" s="1"/>
  <c r="P164" i="6"/>
  <c r="E164" i="6"/>
  <c r="D164" i="6"/>
  <c r="M164" i="6" s="1"/>
  <c r="P163" i="6"/>
  <c r="E163" i="6"/>
  <c r="D163" i="6"/>
  <c r="P162" i="6"/>
  <c r="E162" i="6"/>
  <c r="D162" i="6"/>
  <c r="M162" i="6" s="1"/>
  <c r="P161" i="6"/>
  <c r="E161" i="6"/>
  <c r="D161" i="6"/>
  <c r="P160" i="6"/>
  <c r="E160" i="6"/>
  <c r="D160" i="6"/>
  <c r="M160" i="6" s="1"/>
  <c r="P159" i="6"/>
  <c r="E159" i="6"/>
  <c r="D159" i="6"/>
  <c r="M159" i="6" s="1"/>
  <c r="P158" i="6"/>
  <c r="E158" i="6"/>
  <c r="D158" i="6"/>
  <c r="M158" i="6" s="1"/>
  <c r="P157" i="6"/>
  <c r="E157" i="6"/>
  <c r="D157" i="6"/>
  <c r="P156" i="6"/>
  <c r="E156" i="6"/>
  <c r="D156" i="6"/>
  <c r="P155" i="6"/>
  <c r="E155" i="6"/>
  <c r="D155" i="6"/>
  <c r="P154" i="6"/>
  <c r="E154" i="6"/>
  <c r="D154" i="6"/>
  <c r="P152" i="6"/>
  <c r="E152" i="6"/>
  <c r="D152" i="6"/>
  <c r="M152" i="6" s="1"/>
  <c r="P151" i="6"/>
  <c r="E151" i="6"/>
  <c r="D151" i="6"/>
  <c r="P150" i="6"/>
  <c r="E150" i="6"/>
  <c r="D150" i="6"/>
  <c r="P149" i="6"/>
  <c r="E149" i="6"/>
  <c r="D149" i="6"/>
  <c r="M149" i="6" s="1"/>
  <c r="P148" i="6"/>
  <c r="E148" i="6"/>
  <c r="D148" i="6"/>
  <c r="M148" i="6" s="1"/>
  <c r="P147" i="6"/>
  <c r="E147" i="6"/>
  <c r="D147" i="6"/>
  <c r="M147" i="6" s="1"/>
  <c r="P146" i="6"/>
  <c r="M146" i="6"/>
  <c r="E146" i="6"/>
  <c r="F146" i="6" s="1"/>
  <c r="L146" i="6" s="1"/>
  <c r="P145" i="6"/>
  <c r="M145" i="6"/>
  <c r="E145" i="6"/>
  <c r="F145" i="6" s="1"/>
  <c r="L145" i="6" s="1"/>
  <c r="P144" i="6"/>
  <c r="M144" i="6"/>
  <c r="E144" i="6"/>
  <c r="F144" i="6" s="1"/>
  <c r="L144" i="6" s="1"/>
  <c r="P143" i="6"/>
  <c r="M143" i="6"/>
  <c r="E143" i="6"/>
  <c r="F143" i="6" s="1"/>
  <c r="L143" i="6" s="1"/>
  <c r="P142" i="6"/>
  <c r="M142" i="6"/>
  <c r="E142" i="6"/>
  <c r="F142" i="6" s="1"/>
  <c r="L142" i="6" s="1"/>
  <c r="P141" i="6"/>
  <c r="M141" i="6"/>
  <c r="E141" i="6"/>
  <c r="F141" i="6" s="1"/>
  <c r="L141" i="6" s="1"/>
  <c r="P139" i="6"/>
  <c r="E139" i="6"/>
  <c r="D139" i="6"/>
  <c r="M139" i="6" s="1"/>
  <c r="P138" i="6"/>
  <c r="E138" i="6"/>
  <c r="D138" i="6"/>
  <c r="P137" i="6"/>
  <c r="E137" i="6"/>
  <c r="D137" i="6"/>
  <c r="M137" i="6" s="1"/>
  <c r="P136" i="6"/>
  <c r="E136" i="6"/>
  <c r="D136" i="6"/>
  <c r="P135" i="6"/>
  <c r="E135" i="6"/>
  <c r="D135" i="6"/>
  <c r="M135" i="6" s="1"/>
  <c r="P134" i="6"/>
  <c r="E134" i="6"/>
  <c r="D134" i="6"/>
  <c r="P133" i="6"/>
  <c r="E133" i="6"/>
  <c r="D133" i="6"/>
  <c r="M133" i="6" s="1"/>
  <c r="P132" i="6"/>
  <c r="E132" i="6"/>
  <c r="D132" i="6"/>
  <c r="P131" i="6"/>
  <c r="E131" i="6"/>
  <c r="D131" i="6"/>
  <c r="M131" i="6" s="1"/>
  <c r="P130" i="6"/>
  <c r="E130" i="6"/>
  <c r="D130" i="6"/>
  <c r="P129" i="6"/>
  <c r="E129" i="6"/>
  <c r="D129" i="6"/>
  <c r="M129" i="6" s="1"/>
  <c r="P128" i="6"/>
  <c r="E128" i="6"/>
  <c r="D128" i="6"/>
  <c r="P126" i="6"/>
  <c r="M126" i="6"/>
  <c r="E126" i="6"/>
  <c r="F126" i="6" s="1"/>
  <c r="L126" i="6" s="1"/>
  <c r="P125" i="6"/>
  <c r="M125" i="6"/>
  <c r="E125" i="6"/>
  <c r="F125" i="6" s="1"/>
  <c r="L125" i="6" s="1"/>
  <c r="P124" i="6"/>
  <c r="E124" i="6"/>
  <c r="D124" i="6"/>
  <c r="M124" i="6" s="1"/>
  <c r="P123" i="6"/>
  <c r="E123" i="6"/>
  <c r="D123" i="6"/>
  <c r="M123" i="6" s="1"/>
  <c r="P122" i="6"/>
  <c r="E122" i="6"/>
  <c r="D122" i="6"/>
  <c r="P121" i="6"/>
  <c r="E121" i="6"/>
  <c r="D121" i="6"/>
  <c r="M121" i="6" s="1"/>
  <c r="P120" i="6"/>
  <c r="E120" i="6"/>
  <c r="D120" i="6"/>
  <c r="M120" i="6" s="1"/>
  <c r="P119" i="6"/>
  <c r="E119" i="6"/>
  <c r="D119" i="6"/>
  <c r="M119" i="6" s="1"/>
  <c r="P118" i="6"/>
  <c r="E118" i="6"/>
  <c r="D118" i="6"/>
  <c r="P117" i="6"/>
  <c r="E117" i="6"/>
  <c r="D117" i="6"/>
  <c r="M117" i="6" s="1"/>
  <c r="P116" i="6"/>
  <c r="E116" i="6"/>
  <c r="D116" i="6"/>
  <c r="M116" i="6" s="1"/>
  <c r="P115" i="6"/>
  <c r="E115" i="6"/>
  <c r="D115" i="6"/>
  <c r="M115" i="6" s="1"/>
  <c r="P113" i="6"/>
  <c r="M113" i="6"/>
  <c r="E113" i="6"/>
  <c r="F113" i="6" s="1"/>
  <c r="L113" i="6" s="1"/>
  <c r="P112" i="6"/>
  <c r="M112" i="6"/>
  <c r="F112" i="6"/>
  <c r="L112" i="6" s="1"/>
  <c r="P111" i="6"/>
  <c r="M111" i="6"/>
  <c r="F111" i="6"/>
  <c r="L111" i="6" s="1"/>
  <c r="P110" i="6"/>
  <c r="M110" i="6"/>
  <c r="F110" i="6"/>
  <c r="L110" i="6" s="1"/>
  <c r="P109" i="6"/>
  <c r="M109" i="6"/>
  <c r="E109" i="6"/>
  <c r="F109" i="6" s="1"/>
  <c r="L109" i="6" s="1"/>
  <c r="P108" i="6"/>
  <c r="M108" i="6"/>
  <c r="E108" i="6"/>
  <c r="F108" i="6" s="1"/>
  <c r="L108" i="6" s="1"/>
  <c r="P107" i="6"/>
  <c r="M107" i="6"/>
  <c r="E107" i="6"/>
  <c r="F107" i="6" s="1"/>
  <c r="L107" i="6" s="1"/>
  <c r="P106" i="6"/>
  <c r="M106" i="6"/>
  <c r="E106" i="6"/>
  <c r="F106" i="6" s="1"/>
  <c r="L106" i="6" s="1"/>
  <c r="P105" i="6"/>
  <c r="M105" i="6"/>
  <c r="E105" i="6"/>
  <c r="F105" i="6" s="1"/>
  <c r="L105" i="6" s="1"/>
  <c r="P104" i="6"/>
  <c r="M104" i="6"/>
  <c r="E104" i="6"/>
  <c r="F104" i="6" s="1"/>
  <c r="L104" i="6" s="1"/>
  <c r="P103" i="6"/>
  <c r="M103" i="6"/>
  <c r="E103" i="6"/>
  <c r="F103" i="6" s="1"/>
  <c r="L103" i="6" s="1"/>
  <c r="P102" i="6"/>
  <c r="M102" i="6"/>
  <c r="E102" i="6"/>
  <c r="F102" i="6" s="1"/>
  <c r="L102" i="6" s="1"/>
  <c r="P100" i="6"/>
  <c r="E100" i="6"/>
  <c r="D100" i="6"/>
  <c r="M100" i="6" s="1"/>
  <c r="P99" i="6"/>
  <c r="E99" i="6"/>
  <c r="D99" i="6"/>
  <c r="M99" i="6" s="1"/>
  <c r="P98" i="6"/>
  <c r="D98" i="6"/>
  <c r="M98" i="6" s="1"/>
  <c r="P97" i="6"/>
  <c r="D97" i="6"/>
  <c r="P96" i="6"/>
  <c r="D96" i="6"/>
  <c r="F96" i="6" s="1"/>
  <c r="L96" i="6" s="1"/>
  <c r="P95" i="6"/>
  <c r="D95" i="6"/>
  <c r="P94" i="6"/>
  <c r="D94" i="6"/>
  <c r="P93" i="6"/>
  <c r="D93" i="6"/>
  <c r="M93" i="6" s="1"/>
  <c r="P92" i="6"/>
  <c r="D92" i="6"/>
  <c r="M92" i="6" s="1"/>
  <c r="P91" i="6"/>
  <c r="D91" i="6"/>
  <c r="M91" i="6" s="1"/>
  <c r="P90" i="6"/>
  <c r="D90" i="6"/>
  <c r="M90" i="6" s="1"/>
  <c r="P89" i="6"/>
  <c r="D89" i="6"/>
  <c r="F89" i="6" s="1"/>
  <c r="L89" i="6" s="1"/>
  <c r="P87" i="6"/>
  <c r="D87" i="6"/>
  <c r="M87" i="6" s="1"/>
  <c r="P86" i="6"/>
  <c r="D86" i="6"/>
  <c r="M86" i="6" s="1"/>
  <c r="P85" i="6"/>
  <c r="D85" i="6"/>
  <c r="F85" i="6" s="1"/>
  <c r="L85" i="6" s="1"/>
  <c r="P84" i="6"/>
  <c r="D84" i="6"/>
  <c r="M84" i="6" s="1"/>
  <c r="P83" i="6"/>
  <c r="D83" i="6"/>
  <c r="M83" i="6" s="1"/>
  <c r="P82" i="6"/>
  <c r="D82" i="6"/>
  <c r="M82" i="6" s="1"/>
  <c r="P81" i="6"/>
  <c r="D81" i="6"/>
  <c r="F81" i="6" s="1"/>
  <c r="L81" i="6" s="1"/>
  <c r="P80" i="6"/>
  <c r="D80" i="6"/>
  <c r="M80" i="6" s="1"/>
  <c r="P79" i="6"/>
  <c r="D79" i="6"/>
  <c r="F79" i="6" s="1"/>
  <c r="L79" i="6" s="1"/>
  <c r="P78" i="6"/>
  <c r="D78" i="6"/>
  <c r="P77" i="6"/>
  <c r="D77" i="6"/>
  <c r="M77" i="6" s="1"/>
  <c r="P76" i="6"/>
  <c r="D76" i="6"/>
  <c r="M76" i="6" s="1"/>
  <c r="P74" i="6"/>
  <c r="D74" i="6"/>
  <c r="F74" i="6" s="1"/>
  <c r="L74" i="6" s="1"/>
  <c r="P73" i="6"/>
  <c r="D73" i="6"/>
  <c r="M73" i="6" s="1"/>
  <c r="P72" i="6"/>
  <c r="D72" i="6"/>
  <c r="F72" i="6" s="1"/>
  <c r="L72" i="6" s="1"/>
  <c r="P71" i="6"/>
  <c r="D71" i="6"/>
  <c r="F71" i="6" s="1"/>
  <c r="L71" i="6" s="1"/>
  <c r="P70" i="6"/>
  <c r="D70" i="6"/>
  <c r="M70" i="6" s="1"/>
  <c r="P69" i="6"/>
  <c r="D69" i="6"/>
  <c r="M69" i="6" s="1"/>
  <c r="P68" i="6"/>
  <c r="D68" i="6"/>
  <c r="F68" i="6" s="1"/>
  <c r="L68" i="6" s="1"/>
  <c r="P67" i="6"/>
  <c r="D67" i="6"/>
  <c r="M67" i="6" s="1"/>
  <c r="P66" i="6"/>
  <c r="D66" i="6"/>
  <c r="F66" i="6" s="1"/>
  <c r="L66" i="6" s="1"/>
  <c r="P65" i="6"/>
  <c r="D65" i="6"/>
  <c r="M65" i="6" s="1"/>
  <c r="P64" i="6"/>
  <c r="D64" i="6"/>
  <c r="F64" i="6" s="1"/>
  <c r="L64" i="6" s="1"/>
  <c r="P63" i="6"/>
  <c r="D63" i="6"/>
  <c r="M63" i="6" s="1"/>
  <c r="P62" i="9"/>
  <c r="F99" i="9"/>
  <c r="K99" i="9" s="1"/>
  <c r="P99" i="9"/>
  <c r="P98" i="9"/>
  <c r="P97" i="9"/>
  <c r="P96" i="9"/>
  <c r="P95" i="9"/>
  <c r="P94" i="9"/>
  <c r="P93" i="9"/>
  <c r="P92" i="9"/>
  <c r="P91" i="9"/>
  <c r="P90" i="9"/>
  <c r="P89" i="9"/>
  <c r="P88" i="9"/>
  <c r="F97" i="9"/>
  <c r="K97" i="9" s="1"/>
  <c r="F98" i="9"/>
  <c r="K98" i="9" s="1"/>
  <c r="F96" i="9"/>
  <c r="K96" i="9" s="1"/>
  <c r="F95" i="9"/>
  <c r="K95" i="9" s="1"/>
  <c r="F94" i="9"/>
  <c r="K94" i="9" s="1"/>
  <c r="F93" i="9"/>
  <c r="K93" i="9" s="1"/>
  <c r="F92" i="9"/>
  <c r="K92" i="9" s="1"/>
  <c r="F91" i="9"/>
  <c r="K91" i="9" s="1"/>
  <c r="F90" i="9"/>
  <c r="K90" i="9" s="1"/>
  <c r="F89" i="9"/>
  <c r="K89" i="9" s="1"/>
  <c r="F88" i="9"/>
  <c r="K88" i="9" s="1"/>
  <c r="F86" i="9"/>
  <c r="K86" i="9" s="1"/>
  <c r="P86" i="9"/>
  <c r="F85" i="9"/>
  <c r="K85" i="9" s="1"/>
  <c r="P85" i="9"/>
  <c r="F84" i="9"/>
  <c r="K84" i="9" s="1"/>
  <c r="P84" i="9"/>
  <c r="F83" i="9"/>
  <c r="K83" i="9" s="1"/>
  <c r="P83" i="9"/>
  <c r="F82" i="9"/>
  <c r="K82" i="9" s="1"/>
  <c r="P82" i="9"/>
  <c r="F81" i="9"/>
  <c r="K81" i="9" s="1"/>
  <c r="P81" i="9"/>
  <c r="F80" i="9"/>
  <c r="K80" i="9" s="1"/>
  <c r="P80" i="9"/>
  <c r="F79" i="9"/>
  <c r="K79" i="9" s="1"/>
  <c r="P79" i="9"/>
  <c r="F78" i="9"/>
  <c r="K78" i="9" s="1"/>
  <c r="P78" i="9"/>
  <c r="F77" i="9"/>
  <c r="K77" i="9" s="1"/>
  <c r="P77" i="9"/>
  <c r="F76" i="9"/>
  <c r="K76" i="9" s="1"/>
  <c r="P76" i="9"/>
  <c r="F75" i="9"/>
  <c r="K75" i="9" s="1"/>
  <c r="P75" i="9"/>
  <c r="F62" i="9"/>
  <c r="K62" i="9" s="1"/>
  <c r="F63" i="9"/>
  <c r="K63" i="9" s="1"/>
  <c r="P63" i="9"/>
  <c r="F64" i="9"/>
  <c r="K64" i="9" s="1"/>
  <c r="P64" i="9"/>
  <c r="F65" i="9"/>
  <c r="K65" i="9" s="1"/>
  <c r="P65" i="9"/>
  <c r="F66" i="9"/>
  <c r="K66" i="9" s="1"/>
  <c r="P66" i="9"/>
  <c r="F67" i="9"/>
  <c r="K67" i="9" s="1"/>
  <c r="P67" i="9"/>
  <c r="F68" i="9"/>
  <c r="K68" i="9" s="1"/>
  <c r="P68" i="9"/>
  <c r="F69" i="9"/>
  <c r="K69" i="9" s="1"/>
  <c r="P69" i="9"/>
  <c r="F70" i="9"/>
  <c r="K70" i="9" s="1"/>
  <c r="P70" i="9"/>
  <c r="F71" i="9"/>
  <c r="K71" i="9" s="1"/>
  <c r="P71" i="9"/>
  <c r="F72" i="9"/>
  <c r="K72" i="9" s="1"/>
  <c r="P72" i="9"/>
  <c r="F73" i="9"/>
  <c r="K73" i="9" s="1"/>
  <c r="P73" i="9"/>
  <c r="P12" i="6"/>
  <c r="Q12" i="6" s="1"/>
  <c r="D37" i="6"/>
  <c r="P37" i="6"/>
  <c r="D38" i="6"/>
  <c r="M38" i="6" s="1"/>
  <c r="P38" i="6"/>
  <c r="D39" i="6"/>
  <c r="F39" i="6" s="1"/>
  <c r="L39" i="6" s="1"/>
  <c r="P39" i="6"/>
  <c r="D40" i="6"/>
  <c r="P40" i="6"/>
  <c r="D41" i="6"/>
  <c r="M41" i="6" s="1"/>
  <c r="P41" i="6"/>
  <c r="D42" i="6"/>
  <c r="F42" i="6" s="1"/>
  <c r="L42" i="6" s="1"/>
  <c r="P42" i="6"/>
  <c r="D43" i="6"/>
  <c r="M43" i="6" s="1"/>
  <c r="P43" i="6"/>
  <c r="D44" i="6"/>
  <c r="P44" i="6"/>
  <c r="D45" i="6"/>
  <c r="F45" i="6" s="1"/>
  <c r="L45" i="6" s="1"/>
  <c r="P45" i="6"/>
  <c r="D46" i="6"/>
  <c r="P46" i="6"/>
  <c r="D47" i="6"/>
  <c r="M47" i="6" s="1"/>
  <c r="P47" i="6"/>
  <c r="D48" i="6"/>
  <c r="P48" i="6"/>
  <c r="D50" i="6"/>
  <c r="M50" i="6" s="1"/>
  <c r="P50" i="6"/>
  <c r="D51" i="6"/>
  <c r="M51" i="6" s="1"/>
  <c r="P51" i="6"/>
  <c r="D52" i="6"/>
  <c r="M52" i="6" s="1"/>
  <c r="P52" i="6"/>
  <c r="D53" i="6"/>
  <c r="P53" i="6"/>
  <c r="D54" i="6"/>
  <c r="M54" i="6" s="1"/>
  <c r="P54" i="6"/>
  <c r="D55" i="6"/>
  <c r="P55" i="6"/>
  <c r="D56" i="6"/>
  <c r="F56" i="6" s="1"/>
  <c r="L56" i="6" s="1"/>
  <c r="P56" i="6"/>
  <c r="D57" i="6"/>
  <c r="P57" i="6"/>
  <c r="D58" i="6"/>
  <c r="M58" i="6" s="1"/>
  <c r="P58" i="6"/>
  <c r="D59" i="6"/>
  <c r="F59" i="6" s="1"/>
  <c r="L59" i="6" s="1"/>
  <c r="P59" i="6"/>
  <c r="D60" i="6"/>
  <c r="M60" i="6" s="1"/>
  <c r="P60" i="6"/>
  <c r="D61" i="6"/>
  <c r="M61" i="6" s="1"/>
  <c r="P61" i="6"/>
  <c r="Q46" i="9" l="1"/>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s="1"/>
  <c r="Q41" i="6" s="1"/>
  <c r="Q68" i="9"/>
  <c r="Q88" i="9"/>
  <c r="Q18" i="9"/>
  <c r="Q55" i="9"/>
  <c r="Q110" i="9"/>
  <c r="Q122" i="9"/>
  <c r="Q127" i="9"/>
  <c r="Q98" i="9"/>
  <c r="Q12" i="9"/>
  <c r="Q29" i="9"/>
  <c r="Q37" i="9"/>
  <c r="Q54" i="9"/>
  <c r="Q118" i="9"/>
  <c r="Q125" i="9"/>
  <c r="Q13" i="9"/>
  <c r="Q27" i="9"/>
  <c r="Q52" i="9"/>
  <c r="Q59" i="9"/>
  <c r="Q108" i="9"/>
  <c r="Q116" i="9"/>
  <c r="Q141" i="6"/>
  <c r="F151" i="6"/>
  <c r="L151" i="6" s="1"/>
  <c r="Q151" i="6" s="1"/>
  <c r="Q144" i="6"/>
  <c r="Q72" i="6"/>
  <c r="M79" i="6"/>
  <c r="Q89" i="6"/>
  <c r="F98" i="6"/>
  <c r="L98" i="6" s="1"/>
  <c r="Q98" i="6" s="1"/>
  <c r="F43" i="6"/>
  <c r="L43" i="6" s="1"/>
  <c r="Q43" i="6" s="1"/>
  <c r="F132" i="6"/>
  <c r="L132" i="6" s="1"/>
  <c r="Q132" i="6" s="1"/>
  <c r="F138" i="6"/>
  <c r="L138" i="6" s="1"/>
  <c r="Q138" i="6" s="1"/>
  <c r="Q174" i="6"/>
  <c r="Q224" i="6"/>
  <c r="F67" i="6"/>
  <c r="L67" i="6" s="1"/>
  <c r="Q67" i="6" s="1"/>
  <c r="M59" i="6"/>
  <c r="Q79" i="6"/>
  <c r="M81" i="6"/>
  <c r="F128" i="6"/>
  <c r="L128" i="6" s="1"/>
  <c r="Q128" i="6" s="1"/>
  <c r="F76" i="6"/>
  <c r="L76" i="6" s="1"/>
  <c r="Q76" i="6" s="1"/>
  <c r="M56" i="6"/>
  <c r="F123" i="6"/>
  <c r="L123" i="6" s="1"/>
  <c r="Q123" i="6" s="1"/>
  <c r="F130" i="6"/>
  <c r="L130" i="6" s="1"/>
  <c r="Q130" i="6" s="1"/>
  <c r="F136" i="6"/>
  <c r="L136" i="6" s="1"/>
  <c r="Q136" i="6" s="1"/>
  <c r="F156" i="6"/>
  <c r="L156" i="6" s="1"/>
  <c r="Q156" i="6" s="1"/>
  <c r="Q71" i="6"/>
  <c r="Q125" i="6"/>
  <c r="F134" i="6"/>
  <c r="L134" i="6" s="1"/>
  <c r="Q134" i="6" s="1"/>
  <c r="F135" i="6"/>
  <c r="L135" i="6" s="1"/>
  <c r="Q135" i="6" s="1"/>
  <c r="F149" i="6"/>
  <c r="L149" i="6" s="1"/>
  <c r="Q149" i="6" s="1"/>
  <c r="Q233" i="6"/>
  <c r="Q241" i="6"/>
  <c r="Q123" i="9"/>
  <c r="Q67" i="9"/>
  <c r="Q80" i="9"/>
  <c r="Q105" i="9"/>
  <c r="Q77" i="9"/>
  <c r="Q84" i="9"/>
  <c r="Q90" i="9"/>
  <c r="Q95" i="9"/>
  <c r="Q142" i="6"/>
  <c r="Q145" i="6"/>
  <c r="F147" i="6"/>
  <c r="L147" i="6" s="1"/>
  <c r="Q147" i="6" s="1"/>
  <c r="Q104" i="9"/>
  <c r="Q107" i="9"/>
  <c r="Q109" i="9"/>
  <c r="Q131" i="9"/>
  <c r="Q73" i="9"/>
  <c r="Q10" i="9"/>
  <c r="Q14" i="9"/>
  <c r="Q70" i="9"/>
  <c r="M64" i="6"/>
  <c r="Q96" i="6"/>
  <c r="M128" i="6"/>
  <c r="M130" i="6"/>
  <c r="M132" i="6"/>
  <c r="M134" i="6"/>
  <c r="M136" i="6"/>
  <c r="M138" i="6"/>
  <c r="M156" i="6"/>
  <c r="F158" i="6"/>
  <c r="L158" i="6" s="1"/>
  <c r="Q158" i="6" s="1"/>
  <c r="Q25" i="9"/>
  <c r="Q39" i="9"/>
  <c r="Q42" i="9"/>
  <c r="Q53" i="9"/>
  <c r="Q60" i="9"/>
  <c r="Q115" i="9"/>
  <c r="Q129" i="9"/>
  <c r="Q134" i="9"/>
  <c r="Q141" i="9"/>
  <c r="Q225" i="6"/>
  <c r="F90" i="6"/>
  <c r="L90" i="6" s="1"/>
  <c r="Q90" i="6" s="1"/>
  <c r="F60" i="6"/>
  <c r="L60" i="6" s="1"/>
  <c r="Q60" i="6" s="1"/>
  <c r="Q223" i="6"/>
  <c r="Q254" i="6"/>
  <c r="Q260" i="6"/>
  <c r="Q11" i="9"/>
  <c r="Q15" i="9"/>
  <c r="Q40" i="9"/>
  <c r="Q43" i="9"/>
  <c r="Q132" i="9"/>
  <c r="F52" i="6"/>
  <c r="L52" i="6" s="1"/>
  <c r="Q52" i="6" s="1"/>
  <c r="Q75" i="9"/>
  <c r="Q85" i="6"/>
  <c r="M151" i="6"/>
  <c r="Q168" i="6"/>
  <c r="Q198" i="6"/>
  <c r="Q103" i="9"/>
  <c r="Q58" i="9"/>
  <c r="Q135" i="9"/>
  <c r="Q62" i="9"/>
  <c r="Q137" i="9"/>
  <c r="Q121" i="9"/>
  <c r="Q93" i="9"/>
  <c r="Q76" i="9"/>
  <c r="Q26" i="9"/>
  <c r="F63" i="6"/>
  <c r="L63" i="6" s="1"/>
  <c r="Q63" i="6" s="1"/>
  <c r="F229" i="6"/>
  <c r="L229" i="6" s="1"/>
  <c r="Q229" i="6" s="1"/>
  <c r="Q183" i="6"/>
  <c r="Q197" i="6"/>
  <c r="Q211" i="6"/>
  <c r="Q253" i="6"/>
  <c r="F38" i="6"/>
  <c r="L38" i="6" s="1"/>
  <c r="Q38" i="6" s="1"/>
  <c r="M39" i="6"/>
  <c r="Q66" i="6"/>
  <c r="Q175" i="6"/>
  <c r="Q177" i="6"/>
  <c r="Q184" i="6"/>
  <c r="Q195" i="6"/>
  <c r="Q206" i="6"/>
  <c r="Q220" i="6"/>
  <c r="Q239" i="6"/>
  <c r="Q248" i="6"/>
  <c r="Q126" i="6"/>
  <c r="Q237" i="6"/>
  <c r="F93" i="6"/>
  <c r="L93" i="6" s="1"/>
  <c r="Q93" i="6" s="1"/>
  <c r="Q113" i="6"/>
  <c r="Q176" i="6"/>
  <c r="Q190" i="6"/>
  <c r="Q196" i="6"/>
  <c r="Q249" i="6"/>
  <c r="Q258" i="6"/>
  <c r="F86" i="6"/>
  <c r="L86" i="6" s="1"/>
  <c r="Q86" i="6" s="1"/>
  <c r="Q68" i="6"/>
  <c r="M72" i="6"/>
  <c r="M96" i="6"/>
  <c r="F122" i="6"/>
  <c r="L122" i="6" s="1"/>
  <c r="Q122" i="6" s="1"/>
  <c r="Q169" i="6"/>
  <c r="Q243" i="6"/>
  <c r="F100" i="6"/>
  <c r="L100" i="6" s="1"/>
  <c r="Q100" i="6" s="1"/>
  <c r="F80" i="6"/>
  <c r="L80" i="6" s="1"/>
  <c r="Q80" i="6" s="1"/>
  <c r="Q103" i="6"/>
  <c r="Q182" i="6"/>
  <c r="Q185" i="6"/>
  <c r="Q202" i="6"/>
  <c r="Q213" i="6"/>
  <c r="Q227" i="6"/>
  <c r="Q256" i="6"/>
  <c r="Q262" i="6"/>
  <c r="F164" i="6"/>
  <c r="L164" i="6" s="1"/>
  <c r="Q164" i="6" s="1"/>
  <c r="F54" i="6"/>
  <c r="L54" i="6" s="1"/>
  <c r="Q54" i="6" s="1"/>
  <c r="M45" i="6"/>
  <c r="M42" i="6"/>
  <c r="M66" i="6"/>
  <c r="F154" i="6"/>
  <c r="L154" i="6" s="1"/>
  <c r="Q154" i="6" s="1"/>
  <c r="Q170" i="6"/>
  <c r="Q208" i="6"/>
  <c r="Q246" i="6"/>
  <c r="Q251" i="6"/>
  <c r="F83" i="6"/>
  <c r="L83" i="6" s="1"/>
  <c r="Q83" i="6" s="1"/>
  <c r="Q143" i="6"/>
  <c r="F119" i="6"/>
  <c r="L119" i="6" s="1"/>
  <c r="Q119" i="6" s="1"/>
  <c r="Q186" i="6"/>
  <c r="Q222" i="6"/>
  <c r="Q263" i="6"/>
  <c r="Q56" i="6"/>
  <c r="F117" i="6"/>
  <c r="L117" i="6" s="1"/>
  <c r="Q117" i="6" s="1"/>
  <c r="F124" i="6"/>
  <c r="L124" i="6" s="1"/>
  <c r="Q124" i="6" s="1"/>
  <c r="F162" i="6"/>
  <c r="L162" i="6" s="1"/>
  <c r="Q162" i="6" s="1"/>
  <c r="Q178" i="6"/>
  <c r="Q194" i="6"/>
  <c r="Q209" i="6"/>
  <c r="Q238" i="6"/>
  <c r="Q247" i="6"/>
  <c r="Q252" i="6"/>
  <c r="Q268" i="6"/>
  <c r="Q102" i="6"/>
  <c r="Q109" i="6"/>
  <c r="Q189" i="6"/>
  <c r="Q191" i="6"/>
  <c r="Q203" i="6"/>
  <c r="Q214" i="6"/>
  <c r="Q255" i="6"/>
  <c r="Q261" i="6"/>
  <c r="Q266" i="6"/>
  <c r="Q39" i="6"/>
  <c r="F50" i="6"/>
  <c r="L50" i="6" s="1"/>
  <c r="Q50" i="6" s="1"/>
  <c r="Q112" i="6"/>
  <c r="Q193" i="6"/>
  <c r="Q207" i="6"/>
  <c r="Q267" i="6"/>
  <c r="F92" i="6"/>
  <c r="L92" i="6" s="1"/>
  <c r="Q92" i="6" s="1"/>
  <c r="F70" i="6"/>
  <c r="L70" i="6" s="1"/>
  <c r="Q70" i="6" s="1"/>
  <c r="F160" i="6"/>
  <c r="L160" i="6" s="1"/>
  <c r="Q160" i="6" s="1"/>
  <c r="Q106" i="6"/>
  <c r="F115" i="6"/>
  <c r="L115" i="6" s="1"/>
  <c r="Q115" i="6" s="1"/>
  <c r="Q173" i="6"/>
  <c r="Q181" i="6"/>
  <c r="Q204" i="6"/>
  <c r="Q216" i="6"/>
  <c r="Q236" i="6"/>
  <c r="Q265" i="6"/>
  <c r="F84" i="6"/>
  <c r="L84" i="6" s="1"/>
  <c r="Q84" i="6" s="1"/>
  <c r="F99" i="6"/>
  <c r="L99" i="6" s="1"/>
  <c r="Q99" i="6" s="1"/>
  <c r="F51" i="6"/>
  <c r="L51" i="6" s="1"/>
  <c r="Q51" i="6" s="1"/>
  <c r="Q64" i="6"/>
  <c r="M68" i="6"/>
  <c r="M71" i="6"/>
  <c r="M74" i="6"/>
  <c r="Q81" i="6"/>
  <c r="M85" i="6"/>
  <c r="M89" i="6"/>
  <c r="Q110" i="6"/>
  <c r="F118" i="6"/>
  <c r="L118" i="6" s="1"/>
  <c r="Q118" i="6" s="1"/>
  <c r="F129" i="6"/>
  <c r="L129" i="6" s="1"/>
  <c r="Q129" i="6" s="1"/>
  <c r="F131" i="6"/>
  <c r="L131" i="6" s="1"/>
  <c r="Q131" i="6" s="1"/>
  <c r="F133" i="6"/>
  <c r="L133" i="6" s="1"/>
  <c r="Q133" i="6" s="1"/>
  <c r="F137" i="6"/>
  <c r="L137" i="6" s="1"/>
  <c r="Q137" i="6" s="1"/>
  <c r="F139" i="6"/>
  <c r="L139" i="6" s="1"/>
  <c r="Q139" i="6" s="1"/>
  <c r="Q146" i="6"/>
  <c r="M154" i="6"/>
  <c r="Q188" i="6"/>
  <c r="Q201" i="6"/>
  <c r="F58" i="6"/>
  <c r="L58" i="6" s="1"/>
  <c r="Q58" i="6" s="1"/>
  <c r="F159" i="6"/>
  <c r="L159" i="6" s="1"/>
  <c r="Q159" i="6" s="1"/>
  <c r="F228" i="6"/>
  <c r="L228" i="6" s="1"/>
  <c r="Q228" i="6" s="1"/>
  <c r="F47" i="6"/>
  <c r="L47" i="6" s="1"/>
  <c r="Q47" i="6" s="1"/>
  <c r="Q59" i="6"/>
  <c r="Q45" i="6"/>
  <c r="Q107" i="6"/>
  <c r="Q172" i="6"/>
  <c r="Q215" i="6"/>
  <c r="Q235" i="6"/>
  <c r="F82" i="6"/>
  <c r="L82" i="6" s="1"/>
  <c r="Q82" i="6" s="1"/>
  <c r="F65" i="6"/>
  <c r="L65" i="6" s="1"/>
  <c r="Q65" i="6" s="1"/>
  <c r="F87" i="6"/>
  <c r="L87" i="6" s="1"/>
  <c r="Q87" i="6" s="1"/>
  <c r="Q105" i="6"/>
  <c r="F121" i="6"/>
  <c r="L121" i="6" s="1"/>
  <c r="Q121" i="6" s="1"/>
  <c r="Q167" i="6"/>
  <c r="Q180" i="6"/>
  <c r="Q245" i="6"/>
  <c r="Q264" i="6"/>
  <c r="F73" i="6"/>
  <c r="L73" i="6" s="1"/>
  <c r="Q73" i="6" s="1"/>
  <c r="Q111" i="6"/>
  <c r="Q187" i="6"/>
  <c r="Q221" i="6"/>
  <c r="Q242" i="6"/>
  <c r="K138" i="9"/>
  <c r="Q138" i="9" s="1"/>
  <c r="M155" i="6"/>
  <c r="F155" i="6"/>
  <c r="L155" i="6" s="1"/>
  <c r="Q155" i="6" s="1"/>
  <c r="Q86" i="9"/>
  <c r="Q91" i="9"/>
  <c r="Q212" i="6"/>
  <c r="Q234" i="6"/>
  <c r="Q63" i="9"/>
  <c r="Q42" i="6"/>
  <c r="M78" i="6"/>
  <c r="F78" i="6"/>
  <c r="L78" i="6" s="1"/>
  <c r="Q78" i="6" s="1"/>
  <c r="M95" i="6"/>
  <c r="F95" i="6"/>
  <c r="L95" i="6" s="1"/>
  <c r="Q95" i="6" s="1"/>
  <c r="F157" i="6"/>
  <c r="L157" i="6" s="1"/>
  <c r="Q157" i="6" s="1"/>
  <c r="M157" i="6"/>
  <c r="Q210" i="6"/>
  <c r="Q232" i="6"/>
  <c r="Q79" i="9"/>
  <c r="Q83" i="9"/>
  <c r="F165" i="6"/>
  <c r="L165" i="6" s="1"/>
  <c r="Q165" i="6" s="1"/>
  <c r="M46" i="6"/>
  <c r="F46" i="6"/>
  <c r="L46" i="6" s="1"/>
  <c r="Q46" i="6" s="1"/>
  <c r="M40" i="6"/>
  <c r="F40" i="6"/>
  <c r="L40" i="6" s="1"/>
  <c r="Q40" i="6" s="1"/>
  <c r="M97" i="6"/>
  <c r="F97" i="6"/>
  <c r="L97" i="6" s="1"/>
  <c r="Q97" i="6" s="1"/>
  <c r="F163" i="6"/>
  <c r="L163" i="6" s="1"/>
  <c r="Q163" i="6" s="1"/>
  <c r="M163" i="6"/>
  <c r="Q171" i="6"/>
  <c r="Q219" i="6"/>
  <c r="Q240" i="6"/>
  <c r="Q99" i="9"/>
  <c r="F150" i="6"/>
  <c r="L150" i="6" s="1"/>
  <c r="Q150" i="6" s="1"/>
  <c r="M150" i="6"/>
  <c r="M37" i="6"/>
  <c r="F37" i="6"/>
  <c r="L37" i="6" s="1"/>
  <c r="Q37" i="6" s="1"/>
  <c r="Q64" i="9"/>
  <c r="F91" i="6"/>
  <c r="L91" i="6" s="1"/>
  <c r="Q91" i="6" s="1"/>
  <c r="F152" i="6"/>
  <c r="L152" i="6" s="1"/>
  <c r="Q152" i="6" s="1"/>
  <c r="Q74" i="6"/>
  <c r="F148" i="6"/>
  <c r="L148" i="6" s="1"/>
  <c r="Q148" i="6" s="1"/>
  <c r="M53" i="6"/>
  <c r="F53" i="6"/>
  <c r="L53" i="6" s="1"/>
  <c r="Q53" i="6" s="1"/>
  <c r="M94" i="6"/>
  <c r="F94" i="6"/>
  <c r="L94" i="6" s="1"/>
  <c r="Q94" i="6" s="1"/>
  <c r="M161" i="6"/>
  <c r="F161" i="6"/>
  <c r="L161" i="6" s="1"/>
  <c r="Q161" i="6" s="1"/>
  <c r="F230" i="6"/>
  <c r="L230" i="6" s="1"/>
  <c r="Q230" i="6" s="1"/>
  <c r="M230" i="6"/>
  <c r="Q45" i="9"/>
  <c r="F57" i="6"/>
  <c r="L57" i="6" s="1"/>
  <c r="Q57" i="6" s="1"/>
  <c r="M57" i="6"/>
  <c r="Q108" i="6"/>
  <c r="Q133" i="9"/>
  <c r="F77" i="6"/>
  <c r="L77" i="6" s="1"/>
  <c r="Q77" i="6" s="1"/>
  <c r="F116" i="6"/>
  <c r="L116" i="6" s="1"/>
  <c r="Q116" i="6" s="1"/>
  <c r="F61" i="6"/>
  <c r="L61" i="6" s="1"/>
  <c r="Q61" i="6" s="1"/>
  <c r="Q82" i="9"/>
  <c r="Q200" i="6"/>
  <c r="Q259" i="6"/>
  <c r="M55" i="6"/>
  <c r="F55" i="6"/>
  <c r="L55" i="6" s="1"/>
  <c r="Q55" i="6" s="1"/>
  <c r="M48" i="6"/>
  <c r="F48" i="6"/>
  <c r="L48" i="6" s="1"/>
  <c r="Q48" i="6" s="1"/>
  <c r="F69" i="6"/>
  <c r="L69" i="6" s="1"/>
  <c r="Q69" i="6" s="1"/>
  <c r="F120" i="6"/>
  <c r="L120" i="6" s="1"/>
  <c r="Q120" i="6" s="1"/>
  <c r="Q104" i="6"/>
  <c r="Q28" i="9"/>
  <c r="Q47" i="9"/>
  <c r="Q117" i="9"/>
  <c r="Q124" i="9"/>
  <c r="Q217" i="6"/>
  <c r="M44" i="6"/>
  <c r="F44" i="6"/>
  <c r="L44" i="6" s="1"/>
  <c r="Q44" i="6" s="1"/>
  <c r="M118" i="6"/>
  <c r="M122" i="6"/>
  <c r="Q226" i="6"/>
  <c r="Q250" i="6"/>
  <c r="Q16" i="9"/>
  <c r="Q51" i="9"/>
</calcChain>
</file>

<file path=xl/sharedStrings.xml><?xml version="1.0" encoding="utf-8"?>
<sst xmlns="http://schemas.openxmlformats.org/spreadsheetml/2006/main" count="844" uniqueCount="100">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</sst>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8"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0">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3" activePane="bottomRight" state="frozen"/>
      <selection pane="topRight" activeCell="B1" sqref="B1"/>
      <selection pane="bottomLeft" activeCell="A15" sqref="A15"/>
      <selection pane="bottomRight" activeCell="E272" sqref="E272"/>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3" t="s">
        <v>85</v>
      </c>
      <c r="B1" s="43"/>
      <c r="C1" s="43"/>
      <c r="D1" s="43"/>
      <c r="E1" s="43"/>
      <c r="F1" s="43"/>
      <c r="G1" s="43"/>
      <c r="H1" s="43"/>
      <c r="I1" s="43"/>
      <c r="J1" s="43"/>
      <c r="K1" s="43"/>
      <c r="L1" s="43"/>
      <c r="M1" s="43"/>
      <c r="N1" s="43"/>
      <c r="O1" s="43"/>
      <c r="P1" s="43"/>
      <c r="Q1" s="43"/>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4" t="s">
        <v>54</v>
      </c>
      <c r="C4" s="45"/>
      <c r="D4" s="45"/>
      <c r="E4" s="45"/>
      <c r="F4" s="46"/>
      <c r="G4" s="44" t="s">
        <v>53</v>
      </c>
      <c r="H4" s="45"/>
      <c r="I4" s="45"/>
      <c r="J4" s="45"/>
      <c r="K4" s="46"/>
      <c r="L4" s="5"/>
      <c r="M4" s="6"/>
      <c r="N4" s="44" t="s">
        <v>95</v>
      </c>
      <c r="O4" s="45"/>
      <c r="P4" s="46"/>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 t="shared" ref="L37:L48" si="19">F37+G37+H37+I37+J37+K37</f>
        <v>16922</v>
      </c>
      <c r="M37" s="13">
        <f t="shared" ref="M37:M61" si="20">B37+C37+D37+G37+H37+I37+J37+K37</f>
        <v>39327</v>
      </c>
      <c r="N37" s="13">
        <v>20289</v>
      </c>
      <c r="O37" s="13">
        <v>31846</v>
      </c>
      <c r="P37" s="13">
        <f t="shared" ref="P37:P48" si="21">N37-O37</f>
        <v>-11557</v>
      </c>
      <c r="Q37" s="13">
        <f t="shared" ref="Q37:Q48" si="22">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si="19"/>
        <v>20562</v>
      </c>
      <c r="M38" s="13">
        <f t="shared" si="20"/>
        <v>43460</v>
      </c>
      <c r="N38" s="13">
        <v>23249</v>
      </c>
      <c r="O38" s="13">
        <v>37351</v>
      </c>
      <c r="P38" s="13">
        <f t="shared" si="21"/>
        <v>-14102</v>
      </c>
      <c r="Q38" s="13">
        <f t="shared" si="22"/>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19"/>
        <v>26179</v>
      </c>
      <c r="M39" s="13">
        <f t="shared" si="20"/>
        <v>48838</v>
      </c>
      <c r="N39" s="13">
        <v>22083</v>
      </c>
      <c r="O39" s="13">
        <v>32671</v>
      </c>
      <c r="P39" s="13">
        <f t="shared" si="21"/>
        <v>-10588</v>
      </c>
      <c r="Q39" s="13">
        <f t="shared" si="22"/>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19"/>
        <v>35967</v>
      </c>
      <c r="M40" s="13">
        <f t="shared" si="20"/>
        <v>58953</v>
      </c>
      <c r="N40" s="13">
        <v>21590</v>
      </c>
      <c r="O40" s="13">
        <v>32562</v>
      </c>
      <c r="P40" s="13">
        <f t="shared" si="21"/>
        <v>-10972</v>
      </c>
      <c r="Q40" s="13">
        <f t="shared" si="22"/>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19"/>
        <v>38825</v>
      </c>
      <c r="M41" s="13">
        <f t="shared" si="20"/>
        <v>61762</v>
      </c>
      <c r="N41" s="13">
        <v>23527</v>
      </c>
      <c r="O41" s="13">
        <v>33531</v>
      </c>
      <c r="P41" s="13">
        <f t="shared" si="21"/>
        <v>-10004</v>
      </c>
      <c r="Q41" s="13">
        <f t="shared" si="22"/>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19"/>
        <v>38864</v>
      </c>
      <c r="M42" s="13">
        <f t="shared" si="20"/>
        <v>61944</v>
      </c>
      <c r="N42" s="13">
        <v>18780</v>
      </c>
      <c r="O42" s="13">
        <v>29484</v>
      </c>
      <c r="P42" s="13">
        <f t="shared" si="21"/>
        <v>-10704</v>
      </c>
      <c r="Q42" s="13">
        <f t="shared" si="22"/>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19"/>
        <v>42768</v>
      </c>
      <c r="M43" s="13">
        <f t="shared" si="20"/>
        <v>66529</v>
      </c>
      <c r="N43" s="13">
        <v>17885</v>
      </c>
      <c r="O43" s="13">
        <v>29052</v>
      </c>
      <c r="P43" s="13">
        <f t="shared" si="21"/>
        <v>-11167</v>
      </c>
      <c r="Q43" s="13">
        <f t="shared" si="22"/>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19"/>
        <v>38077</v>
      </c>
      <c r="M44" s="13">
        <f t="shared" si="20"/>
        <v>61684</v>
      </c>
      <c r="N44" s="13">
        <v>17829</v>
      </c>
      <c r="O44" s="13">
        <v>28504</v>
      </c>
      <c r="P44" s="13">
        <f t="shared" si="21"/>
        <v>-10675</v>
      </c>
      <c r="Q44" s="13">
        <f t="shared" si="22"/>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19"/>
        <v>34440</v>
      </c>
      <c r="M45" s="13">
        <f t="shared" si="20"/>
        <v>58152</v>
      </c>
      <c r="N45" s="13">
        <v>17612</v>
      </c>
      <c r="O45" s="13">
        <v>26739</v>
      </c>
      <c r="P45" s="13">
        <f t="shared" si="21"/>
        <v>-9127</v>
      </c>
      <c r="Q45" s="13">
        <f t="shared" si="22"/>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19"/>
        <v>29378</v>
      </c>
      <c r="M46" s="13">
        <f t="shared" si="20"/>
        <v>52502</v>
      </c>
      <c r="N46" s="13">
        <v>17839</v>
      </c>
      <c r="O46" s="13">
        <v>24731</v>
      </c>
      <c r="P46" s="13">
        <f t="shared" si="21"/>
        <v>-6892</v>
      </c>
      <c r="Q46" s="13">
        <f t="shared" si="22"/>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19"/>
        <v>25816</v>
      </c>
      <c r="M47" s="13">
        <f t="shared" si="20"/>
        <v>49475</v>
      </c>
      <c r="N47" s="13">
        <v>14718</v>
      </c>
      <c r="O47" s="13">
        <v>22310</v>
      </c>
      <c r="P47" s="13">
        <f t="shared" si="21"/>
        <v>-7592</v>
      </c>
      <c r="Q47" s="13">
        <f t="shared" si="22"/>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19"/>
        <v>33101</v>
      </c>
      <c r="M48" s="13">
        <f t="shared" si="20"/>
        <v>57245</v>
      </c>
      <c r="N48" s="13">
        <v>16836</v>
      </c>
      <c r="O48" s="13">
        <v>23378</v>
      </c>
      <c r="P48" s="13">
        <f t="shared" si="21"/>
        <v>-6542</v>
      </c>
      <c r="Q48" s="13">
        <f t="shared" si="22"/>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 t="shared" si="20"/>
        <v>66546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si="20"/>
        <v>68116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0"/>
        <v>73951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0"/>
        <v>84298</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0"/>
        <v>86316</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0"/>
        <v>84897</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0"/>
        <v>86997</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0"/>
        <v>82195</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0"/>
        <v>80805</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0"/>
        <v>79240</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0"/>
        <v>74428</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0"/>
        <v>77821</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7">B63+C63+D63-E63</f>
        <v>50008</v>
      </c>
      <c r="G63" s="13">
        <v>279</v>
      </c>
      <c r="H63" s="13">
        <v>3922</v>
      </c>
      <c r="I63" s="13">
        <v>787</v>
      </c>
      <c r="J63" s="15">
        <v>0</v>
      </c>
      <c r="K63" s="15">
        <v>0</v>
      </c>
      <c r="L63" s="13">
        <f t="shared" ref="L63:L74" si="28">SUM(F63:K63)</f>
        <v>54996</v>
      </c>
      <c r="M63" s="13">
        <f>B63+C63+D63+G63+H63+I63+J63+K63</f>
        <v>77778</v>
      </c>
      <c r="N63" s="13">
        <v>15851</v>
      </c>
      <c r="O63" s="13">
        <v>18798</v>
      </c>
      <c r="P63" s="13">
        <f t="shared" ref="P63:P74" si="29">N63-O63</f>
        <v>-2947</v>
      </c>
      <c r="Q63" s="13">
        <f t="shared" ref="Q63:Q74" si="30">L63+P63</f>
        <v>52049</v>
      </c>
    </row>
    <row r="64" spans="1:17" s="10" customFormat="1" ht="12.75" x14ac:dyDescent="0.2">
      <c r="A64" s="18" t="s">
        <v>87</v>
      </c>
      <c r="B64" s="13">
        <v>5152</v>
      </c>
      <c r="C64" s="13">
        <v>62</v>
      </c>
      <c r="D64" s="13">
        <f>75280-C64-B64</f>
        <v>70066</v>
      </c>
      <c r="E64" s="13">
        <v>22238</v>
      </c>
      <c r="F64" s="13">
        <f t="shared" si="27"/>
        <v>53042</v>
      </c>
      <c r="G64" s="13">
        <v>279</v>
      </c>
      <c r="H64" s="13">
        <v>3922</v>
      </c>
      <c r="I64" s="13">
        <v>787</v>
      </c>
      <c r="J64" s="15">
        <v>0</v>
      </c>
      <c r="K64" s="15">
        <v>0</v>
      </c>
      <c r="L64" s="13">
        <f t="shared" si="28"/>
        <v>58030</v>
      </c>
      <c r="M64" s="13">
        <f t="shared" ref="M64:M113" si="31">B64+C64+D64+G64+H64+I64+J64+K64</f>
        <v>80268</v>
      </c>
      <c r="N64" s="13">
        <v>17526</v>
      </c>
      <c r="O64" s="13">
        <v>19359</v>
      </c>
      <c r="P64" s="13">
        <f t="shared" si="29"/>
        <v>-1833</v>
      </c>
      <c r="Q64" s="13">
        <f t="shared" si="30"/>
        <v>56197</v>
      </c>
    </row>
    <row r="65" spans="1:17" s="10" customFormat="1" ht="12.75" x14ac:dyDescent="0.2">
      <c r="A65" s="18" t="s">
        <v>78</v>
      </c>
      <c r="B65" s="13">
        <v>5152</v>
      </c>
      <c r="C65" s="13">
        <v>65</v>
      </c>
      <c r="D65" s="13">
        <f>80314-C65-B65</f>
        <v>75097</v>
      </c>
      <c r="E65" s="13">
        <v>18763</v>
      </c>
      <c r="F65" s="13">
        <f t="shared" si="27"/>
        <v>61551</v>
      </c>
      <c r="G65" s="13">
        <v>279</v>
      </c>
      <c r="H65" s="13">
        <v>3922</v>
      </c>
      <c r="I65" s="13">
        <v>787</v>
      </c>
      <c r="J65" s="15">
        <v>0</v>
      </c>
      <c r="K65" s="15">
        <v>0</v>
      </c>
      <c r="L65" s="13">
        <f t="shared" si="28"/>
        <v>66539</v>
      </c>
      <c r="M65" s="13">
        <f t="shared" si="31"/>
        <v>85302</v>
      </c>
      <c r="N65" s="13">
        <v>18331</v>
      </c>
      <c r="O65" s="13">
        <v>24352</v>
      </c>
      <c r="P65" s="13">
        <f t="shared" si="29"/>
        <v>-6021</v>
      </c>
      <c r="Q65" s="13">
        <f t="shared" si="30"/>
        <v>60518</v>
      </c>
    </row>
    <row r="66" spans="1:17" s="10" customFormat="1" ht="12.75" x14ac:dyDescent="0.2">
      <c r="A66" s="18" t="s">
        <v>88</v>
      </c>
      <c r="B66" s="13">
        <v>5251</v>
      </c>
      <c r="C66" s="13">
        <v>352</v>
      </c>
      <c r="D66" s="13">
        <f>108887-C66-B66</f>
        <v>103284</v>
      </c>
      <c r="E66" s="13">
        <v>20929</v>
      </c>
      <c r="F66" s="13">
        <f t="shared" si="27"/>
        <v>87958</v>
      </c>
      <c r="G66" s="13">
        <v>1248</v>
      </c>
      <c r="H66" s="13">
        <v>3922</v>
      </c>
      <c r="I66" s="13">
        <v>787</v>
      </c>
      <c r="J66" s="15">
        <v>0</v>
      </c>
      <c r="K66" s="15">
        <v>0</v>
      </c>
      <c r="L66" s="13">
        <f t="shared" si="28"/>
        <v>93915</v>
      </c>
      <c r="M66" s="13">
        <f t="shared" si="31"/>
        <v>114844</v>
      </c>
      <c r="N66" s="13">
        <v>13213</v>
      </c>
      <c r="O66" s="13">
        <v>22218</v>
      </c>
      <c r="P66" s="13">
        <f t="shared" si="29"/>
        <v>-9005</v>
      </c>
      <c r="Q66" s="13">
        <f t="shared" si="30"/>
        <v>84910</v>
      </c>
    </row>
    <row r="67" spans="1:17" s="10" customFormat="1" ht="12.75" x14ac:dyDescent="0.2">
      <c r="A67" s="18" t="s">
        <v>89</v>
      </c>
      <c r="B67" s="13">
        <v>5166</v>
      </c>
      <c r="C67" s="13">
        <v>106</v>
      </c>
      <c r="D67" s="13">
        <f>106514-C67-B67</f>
        <v>101242</v>
      </c>
      <c r="E67" s="13">
        <v>19458</v>
      </c>
      <c r="F67" s="13">
        <f t="shared" si="27"/>
        <v>87056</v>
      </c>
      <c r="G67" s="13">
        <v>534</v>
      </c>
      <c r="H67" s="13">
        <v>3922</v>
      </c>
      <c r="I67" s="13">
        <v>787</v>
      </c>
      <c r="J67" s="15">
        <v>0</v>
      </c>
      <c r="K67" s="15">
        <v>0</v>
      </c>
      <c r="L67" s="13">
        <f t="shared" si="28"/>
        <v>92299</v>
      </c>
      <c r="M67" s="13">
        <f t="shared" si="31"/>
        <v>111757</v>
      </c>
      <c r="N67" s="13">
        <v>11778</v>
      </c>
      <c r="O67" s="13">
        <v>23505</v>
      </c>
      <c r="P67" s="13">
        <f t="shared" si="29"/>
        <v>-11727</v>
      </c>
      <c r="Q67" s="13">
        <f t="shared" si="30"/>
        <v>80572</v>
      </c>
    </row>
    <row r="68" spans="1:17" s="10" customFormat="1" ht="12.75" x14ac:dyDescent="0.2">
      <c r="A68" s="18" t="s">
        <v>79</v>
      </c>
      <c r="B68" s="13">
        <v>4961</v>
      </c>
      <c r="C68" s="13">
        <v>122</v>
      </c>
      <c r="D68" s="13">
        <f>114259-C68-B68</f>
        <v>109176</v>
      </c>
      <c r="E68" s="13">
        <v>17701</v>
      </c>
      <c r="F68" s="13">
        <f t="shared" si="27"/>
        <v>96558</v>
      </c>
      <c r="G68" s="13">
        <v>190</v>
      </c>
      <c r="H68" s="13">
        <v>3013</v>
      </c>
      <c r="I68" s="13">
        <v>1101</v>
      </c>
      <c r="J68" s="15">
        <v>0</v>
      </c>
      <c r="K68" s="15">
        <v>0</v>
      </c>
      <c r="L68" s="13">
        <f t="shared" si="28"/>
        <v>100862</v>
      </c>
      <c r="M68" s="13">
        <f t="shared" si="31"/>
        <v>118563</v>
      </c>
      <c r="N68" s="13">
        <v>14815</v>
      </c>
      <c r="O68" s="13">
        <v>29800</v>
      </c>
      <c r="P68" s="13">
        <f t="shared" si="29"/>
        <v>-14985</v>
      </c>
      <c r="Q68" s="13">
        <f t="shared" si="30"/>
        <v>85877</v>
      </c>
    </row>
    <row r="69" spans="1:17" s="10" customFormat="1" ht="12.75" x14ac:dyDescent="0.2">
      <c r="A69" s="18" t="s">
        <v>90</v>
      </c>
      <c r="B69" s="13">
        <v>4918</v>
      </c>
      <c r="C69" s="13">
        <v>121</v>
      </c>
      <c r="D69" s="13">
        <f>114414-C69-B69</f>
        <v>109375</v>
      </c>
      <c r="E69" s="13">
        <v>19443</v>
      </c>
      <c r="F69" s="13">
        <f t="shared" si="27"/>
        <v>94971</v>
      </c>
      <c r="G69" s="13">
        <v>190</v>
      </c>
      <c r="H69" s="13">
        <v>3013</v>
      </c>
      <c r="I69" s="13">
        <v>1101</v>
      </c>
      <c r="J69" s="15">
        <v>0</v>
      </c>
      <c r="K69" s="15">
        <v>0</v>
      </c>
      <c r="L69" s="13">
        <f t="shared" si="28"/>
        <v>99275</v>
      </c>
      <c r="M69" s="13">
        <f t="shared" si="31"/>
        <v>118718</v>
      </c>
      <c r="N69" s="13">
        <v>14914</v>
      </c>
      <c r="O69" s="13">
        <v>30225</v>
      </c>
      <c r="P69" s="13">
        <f t="shared" si="29"/>
        <v>-15311</v>
      </c>
      <c r="Q69" s="13">
        <f t="shared" si="30"/>
        <v>83964</v>
      </c>
    </row>
    <row r="70" spans="1:17" ht="12.75" x14ac:dyDescent="0.2">
      <c r="A70" s="18" t="s">
        <v>91</v>
      </c>
      <c r="B70" s="13">
        <v>4876</v>
      </c>
      <c r="C70" s="13">
        <v>58</v>
      </c>
      <c r="D70" s="13">
        <f>106808-C70-B70</f>
        <v>101874</v>
      </c>
      <c r="E70" s="13">
        <v>18846</v>
      </c>
      <c r="F70" s="13">
        <f t="shared" si="27"/>
        <v>87962</v>
      </c>
      <c r="G70" s="13">
        <v>190</v>
      </c>
      <c r="H70" s="13">
        <v>3013</v>
      </c>
      <c r="I70" s="13">
        <v>1101</v>
      </c>
      <c r="J70" s="15">
        <v>0</v>
      </c>
      <c r="K70" s="15">
        <v>0</v>
      </c>
      <c r="L70" s="13">
        <f t="shared" si="28"/>
        <v>92266</v>
      </c>
      <c r="M70" s="13">
        <f t="shared" si="31"/>
        <v>111112</v>
      </c>
      <c r="N70" s="13">
        <v>11957</v>
      </c>
      <c r="O70" s="13">
        <v>25931</v>
      </c>
      <c r="P70" s="13">
        <f t="shared" si="29"/>
        <v>-13974</v>
      </c>
      <c r="Q70" s="13">
        <f t="shared" si="30"/>
        <v>78292</v>
      </c>
    </row>
    <row r="71" spans="1:17" ht="12.75" x14ac:dyDescent="0.2">
      <c r="A71" s="18" t="s">
        <v>80</v>
      </c>
      <c r="B71" s="13">
        <v>4876</v>
      </c>
      <c r="C71" s="13">
        <v>56</v>
      </c>
      <c r="D71" s="13">
        <f>105040-C71-B71</f>
        <v>100108</v>
      </c>
      <c r="E71" s="13">
        <v>17117</v>
      </c>
      <c r="F71" s="13">
        <f t="shared" si="27"/>
        <v>87923</v>
      </c>
      <c r="G71" s="13">
        <v>190</v>
      </c>
      <c r="H71" s="13">
        <v>3229</v>
      </c>
      <c r="I71" s="13">
        <v>1102</v>
      </c>
      <c r="J71" s="15">
        <v>0</v>
      </c>
      <c r="K71" s="15">
        <v>0</v>
      </c>
      <c r="L71" s="13">
        <f t="shared" si="28"/>
        <v>92444</v>
      </c>
      <c r="M71" s="13">
        <f t="shared" si="31"/>
        <v>109561</v>
      </c>
      <c r="N71" s="13">
        <v>10192</v>
      </c>
      <c r="O71" s="13">
        <v>23285</v>
      </c>
      <c r="P71" s="13">
        <f t="shared" si="29"/>
        <v>-13093</v>
      </c>
      <c r="Q71" s="13">
        <f t="shared" si="30"/>
        <v>79351</v>
      </c>
    </row>
    <row r="72" spans="1:17" ht="12.75" x14ac:dyDescent="0.2">
      <c r="A72" s="18" t="s">
        <v>92</v>
      </c>
      <c r="B72" s="13">
        <v>4884</v>
      </c>
      <c r="C72" s="13">
        <v>282</v>
      </c>
      <c r="D72" s="13">
        <f>104708-C72-B72</f>
        <v>99542</v>
      </c>
      <c r="E72" s="13">
        <v>18081</v>
      </c>
      <c r="F72" s="13">
        <f t="shared" si="27"/>
        <v>86627</v>
      </c>
      <c r="G72" s="13">
        <v>190</v>
      </c>
      <c r="H72" s="13">
        <v>3229</v>
      </c>
      <c r="I72" s="13">
        <v>1102</v>
      </c>
      <c r="J72" s="15">
        <v>0</v>
      </c>
      <c r="K72" s="15">
        <v>0</v>
      </c>
      <c r="L72" s="13">
        <f t="shared" si="28"/>
        <v>91148</v>
      </c>
      <c r="M72" s="13">
        <f t="shared" si="31"/>
        <v>109229</v>
      </c>
      <c r="N72" s="13">
        <v>9174</v>
      </c>
      <c r="O72" s="13">
        <v>20980</v>
      </c>
      <c r="P72" s="13">
        <f t="shared" si="29"/>
        <v>-11806</v>
      </c>
      <c r="Q72" s="13">
        <f t="shared" si="30"/>
        <v>79342</v>
      </c>
    </row>
    <row r="73" spans="1:17" ht="12.75" x14ac:dyDescent="0.2">
      <c r="A73" s="18" t="s">
        <v>93</v>
      </c>
      <c r="B73" s="13">
        <v>5172</v>
      </c>
      <c r="C73" s="13">
        <v>338</v>
      </c>
      <c r="D73" s="13">
        <f>96401-C73-B73</f>
        <v>90891</v>
      </c>
      <c r="E73" s="13">
        <v>17988</v>
      </c>
      <c r="F73" s="13">
        <f t="shared" si="27"/>
        <v>78413</v>
      </c>
      <c r="G73" s="13">
        <v>190</v>
      </c>
      <c r="H73" s="13">
        <v>3229</v>
      </c>
      <c r="I73" s="13">
        <v>1102</v>
      </c>
      <c r="J73" s="15">
        <v>0</v>
      </c>
      <c r="K73" s="15">
        <v>0</v>
      </c>
      <c r="L73" s="13">
        <f t="shared" si="28"/>
        <v>82934</v>
      </c>
      <c r="M73" s="13">
        <f t="shared" si="31"/>
        <v>100922</v>
      </c>
      <c r="N73" s="13">
        <v>10594</v>
      </c>
      <c r="O73" s="13">
        <v>20611</v>
      </c>
      <c r="P73" s="13">
        <f t="shared" si="29"/>
        <v>-10017</v>
      </c>
      <c r="Q73" s="13">
        <f t="shared" si="30"/>
        <v>72917</v>
      </c>
    </row>
    <row r="74" spans="1:17" ht="12.75" x14ac:dyDescent="0.2">
      <c r="A74" s="18" t="s">
        <v>81</v>
      </c>
      <c r="B74" s="13">
        <v>5095</v>
      </c>
      <c r="C74" s="13">
        <v>42</v>
      </c>
      <c r="D74" s="13">
        <f>103260-C74-B74</f>
        <v>98123</v>
      </c>
      <c r="E74" s="13">
        <v>17001</v>
      </c>
      <c r="F74" s="13">
        <f t="shared" si="27"/>
        <v>86259</v>
      </c>
      <c r="G74" s="13">
        <v>190</v>
      </c>
      <c r="H74" s="13">
        <v>3360</v>
      </c>
      <c r="I74" s="13">
        <v>1173</v>
      </c>
      <c r="J74" s="15">
        <v>0</v>
      </c>
      <c r="K74" s="15">
        <v>0</v>
      </c>
      <c r="L74" s="13">
        <f t="shared" si="28"/>
        <v>90982</v>
      </c>
      <c r="M74" s="13">
        <f t="shared" si="31"/>
        <v>107983</v>
      </c>
      <c r="N74" s="13">
        <v>13848</v>
      </c>
      <c r="O74" s="13">
        <v>17864</v>
      </c>
      <c r="P74" s="13">
        <f t="shared" si="29"/>
        <v>-4016</v>
      </c>
      <c r="Q74" s="13">
        <f t="shared" si="30"/>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2">B76+C76+D76-E76</f>
        <v>87396</v>
      </c>
      <c r="G76" s="13">
        <v>190</v>
      </c>
      <c r="H76" s="13">
        <v>3360</v>
      </c>
      <c r="I76" s="13">
        <v>1173</v>
      </c>
      <c r="J76" s="15">
        <v>0</v>
      </c>
      <c r="K76" s="15">
        <v>0</v>
      </c>
      <c r="L76" s="13">
        <f t="shared" ref="L76:L87" si="33">SUM(F76:K76)</f>
        <v>92119</v>
      </c>
      <c r="M76" s="13">
        <f t="shared" si="31"/>
        <v>109995</v>
      </c>
      <c r="N76" s="13">
        <v>11889</v>
      </c>
      <c r="O76" s="13">
        <v>17148</v>
      </c>
      <c r="P76" s="13">
        <f t="shared" ref="P76:P87" si="34">N76-O76</f>
        <v>-5259</v>
      </c>
      <c r="Q76" s="13">
        <f t="shared" ref="Q76:Q87" si="35">L76+P76</f>
        <v>86860</v>
      </c>
    </row>
    <row r="77" spans="1:17" ht="12.75" x14ac:dyDescent="0.2">
      <c r="A77" s="18" t="s">
        <v>87</v>
      </c>
      <c r="B77" s="13">
        <v>4963</v>
      </c>
      <c r="C77" s="13">
        <v>31</v>
      </c>
      <c r="D77" s="13">
        <f>107717-C77-B77</f>
        <v>102723</v>
      </c>
      <c r="E77" s="13">
        <v>15491</v>
      </c>
      <c r="F77" s="13">
        <f t="shared" si="32"/>
        <v>92226</v>
      </c>
      <c r="G77" s="13">
        <v>190</v>
      </c>
      <c r="H77" s="13">
        <v>3360</v>
      </c>
      <c r="I77" s="13">
        <v>1173</v>
      </c>
      <c r="J77" s="15">
        <v>0</v>
      </c>
      <c r="K77" s="15">
        <v>0</v>
      </c>
      <c r="L77" s="13">
        <f t="shared" si="33"/>
        <v>96949</v>
      </c>
      <c r="M77" s="13">
        <f t="shared" si="31"/>
        <v>112440</v>
      </c>
      <c r="N77" s="13">
        <v>14972</v>
      </c>
      <c r="O77" s="13">
        <v>16688</v>
      </c>
      <c r="P77" s="13">
        <f t="shared" si="34"/>
        <v>-1716</v>
      </c>
      <c r="Q77" s="13">
        <f t="shared" si="35"/>
        <v>95233</v>
      </c>
    </row>
    <row r="78" spans="1:17" ht="12.75" x14ac:dyDescent="0.2">
      <c r="A78" s="18" t="s">
        <v>78</v>
      </c>
      <c r="B78" s="13">
        <v>5003</v>
      </c>
      <c r="C78" s="13">
        <v>38</v>
      </c>
      <c r="D78" s="13">
        <f>115776-C78-B78</f>
        <v>110735</v>
      </c>
      <c r="E78" s="13">
        <v>14976</v>
      </c>
      <c r="F78" s="13">
        <f t="shared" si="32"/>
        <v>100800</v>
      </c>
      <c r="G78" s="13">
        <v>1060</v>
      </c>
      <c r="H78" s="13">
        <v>3905</v>
      </c>
      <c r="I78" s="13">
        <v>1867</v>
      </c>
      <c r="J78" s="15">
        <v>0</v>
      </c>
      <c r="K78" s="15">
        <v>0</v>
      </c>
      <c r="L78" s="13">
        <f t="shared" si="33"/>
        <v>107632</v>
      </c>
      <c r="M78" s="13">
        <f t="shared" si="31"/>
        <v>122608</v>
      </c>
      <c r="N78" s="13">
        <v>18480</v>
      </c>
      <c r="O78" s="13">
        <v>17573</v>
      </c>
      <c r="P78" s="13">
        <f t="shared" si="34"/>
        <v>907</v>
      </c>
      <c r="Q78" s="13">
        <f t="shared" si="35"/>
        <v>108539</v>
      </c>
    </row>
    <row r="79" spans="1:17" ht="12.75" x14ac:dyDescent="0.2">
      <c r="A79" s="18" t="s">
        <v>88</v>
      </c>
      <c r="B79" s="13">
        <v>4894</v>
      </c>
      <c r="C79" s="13">
        <v>287</v>
      </c>
      <c r="D79" s="13">
        <f>121242-C79-B79</f>
        <v>116061</v>
      </c>
      <c r="E79" s="13">
        <v>14228</v>
      </c>
      <c r="F79" s="13">
        <f t="shared" si="32"/>
        <v>107014</v>
      </c>
      <c r="G79" s="13">
        <v>1060</v>
      </c>
      <c r="H79" s="13">
        <v>3905</v>
      </c>
      <c r="I79" s="13">
        <v>1867</v>
      </c>
      <c r="J79" s="15">
        <v>0</v>
      </c>
      <c r="K79" s="15">
        <v>0</v>
      </c>
      <c r="L79" s="13">
        <f t="shared" si="33"/>
        <v>113846</v>
      </c>
      <c r="M79" s="13">
        <f t="shared" si="31"/>
        <v>128074</v>
      </c>
      <c r="N79" s="13">
        <v>18959</v>
      </c>
      <c r="O79" s="13">
        <v>17054</v>
      </c>
      <c r="P79" s="13">
        <f t="shared" si="34"/>
        <v>1905</v>
      </c>
      <c r="Q79" s="13">
        <f t="shared" si="35"/>
        <v>115751</v>
      </c>
    </row>
    <row r="80" spans="1:17" ht="12.75" x14ac:dyDescent="0.2">
      <c r="A80" s="18" t="s">
        <v>89</v>
      </c>
      <c r="B80" s="13">
        <v>4707</v>
      </c>
      <c r="C80" s="13">
        <v>57</v>
      </c>
      <c r="D80" s="13">
        <f>123753-C80-B80</f>
        <v>118989</v>
      </c>
      <c r="E80" s="13">
        <v>13733</v>
      </c>
      <c r="F80" s="13">
        <f t="shared" si="32"/>
        <v>110020</v>
      </c>
      <c r="G80" s="13">
        <v>1060</v>
      </c>
      <c r="H80" s="13">
        <v>3905</v>
      </c>
      <c r="I80" s="13">
        <v>1867</v>
      </c>
      <c r="J80" s="15">
        <v>0</v>
      </c>
      <c r="K80" s="15">
        <v>0</v>
      </c>
      <c r="L80" s="13">
        <f t="shared" si="33"/>
        <v>116852</v>
      </c>
      <c r="M80" s="13">
        <f t="shared" si="31"/>
        <v>130585</v>
      </c>
      <c r="N80" s="13">
        <v>23678</v>
      </c>
      <c r="O80" s="13">
        <v>18970</v>
      </c>
      <c r="P80" s="13">
        <f t="shared" si="34"/>
        <v>4708</v>
      </c>
      <c r="Q80" s="13">
        <f t="shared" si="35"/>
        <v>121560</v>
      </c>
    </row>
    <row r="81" spans="1:17" ht="12.75" x14ac:dyDescent="0.2">
      <c r="A81" s="18" t="s">
        <v>79</v>
      </c>
      <c r="B81" s="13">
        <v>4718</v>
      </c>
      <c r="C81" s="13">
        <v>57</v>
      </c>
      <c r="D81" s="13">
        <f>123224-C81-B81</f>
        <v>118449</v>
      </c>
      <c r="E81" s="13">
        <v>12704</v>
      </c>
      <c r="F81" s="13">
        <f t="shared" si="32"/>
        <v>110520</v>
      </c>
      <c r="G81" s="13">
        <v>1220</v>
      </c>
      <c r="H81" s="13">
        <v>4488</v>
      </c>
      <c r="I81" s="13">
        <v>2307</v>
      </c>
      <c r="J81" s="15">
        <v>0</v>
      </c>
      <c r="K81" s="15">
        <v>0</v>
      </c>
      <c r="L81" s="13">
        <f t="shared" si="33"/>
        <v>118535</v>
      </c>
      <c r="M81" s="13">
        <f t="shared" si="31"/>
        <v>131239</v>
      </c>
      <c r="N81" s="13">
        <v>23685</v>
      </c>
      <c r="O81" s="13">
        <v>19523</v>
      </c>
      <c r="P81" s="13">
        <f t="shared" si="34"/>
        <v>4162</v>
      </c>
      <c r="Q81" s="13">
        <f t="shared" si="35"/>
        <v>122697</v>
      </c>
    </row>
    <row r="82" spans="1:17" ht="12.75" x14ac:dyDescent="0.2">
      <c r="A82" s="18" t="s">
        <v>90</v>
      </c>
      <c r="B82" s="13">
        <v>4873</v>
      </c>
      <c r="C82" s="13">
        <v>221</v>
      </c>
      <c r="D82" s="13">
        <f>122707-C82-B82</f>
        <v>117613</v>
      </c>
      <c r="E82" s="13">
        <v>13552</v>
      </c>
      <c r="F82" s="13">
        <f t="shared" si="32"/>
        <v>109155</v>
      </c>
      <c r="G82" s="13">
        <v>607</v>
      </c>
      <c r="H82" s="13">
        <v>4488</v>
      </c>
      <c r="I82" s="13">
        <v>2307</v>
      </c>
      <c r="J82" s="15">
        <v>0</v>
      </c>
      <c r="K82" s="15">
        <v>0</v>
      </c>
      <c r="L82" s="13">
        <f t="shared" si="33"/>
        <v>116557</v>
      </c>
      <c r="M82" s="13">
        <f t="shared" si="31"/>
        <v>130109</v>
      </c>
      <c r="N82" s="13">
        <v>29787</v>
      </c>
      <c r="O82" s="13">
        <v>16774</v>
      </c>
      <c r="P82" s="13">
        <f t="shared" si="34"/>
        <v>13013</v>
      </c>
      <c r="Q82" s="13">
        <f t="shared" si="35"/>
        <v>129570</v>
      </c>
    </row>
    <row r="83" spans="1:17" ht="12.75" x14ac:dyDescent="0.2">
      <c r="A83" s="18" t="s">
        <v>91</v>
      </c>
      <c r="B83" s="13">
        <v>4718</v>
      </c>
      <c r="C83" s="13">
        <v>15</v>
      </c>
      <c r="D83" s="13">
        <f>121645-C83-B83</f>
        <v>116912</v>
      </c>
      <c r="E83" s="13">
        <v>10753</v>
      </c>
      <c r="F83" s="13">
        <f t="shared" si="32"/>
        <v>110892</v>
      </c>
      <c r="G83" s="13">
        <v>1154</v>
      </c>
      <c r="H83" s="13">
        <v>4488</v>
      </c>
      <c r="I83" s="13">
        <v>2307</v>
      </c>
      <c r="J83" s="15">
        <v>0</v>
      </c>
      <c r="K83" s="15">
        <v>0</v>
      </c>
      <c r="L83" s="13">
        <f t="shared" si="33"/>
        <v>118841</v>
      </c>
      <c r="M83" s="13">
        <f t="shared" si="31"/>
        <v>129594</v>
      </c>
      <c r="N83" s="13">
        <v>27813</v>
      </c>
      <c r="O83" s="13">
        <v>16422</v>
      </c>
      <c r="P83" s="13">
        <f t="shared" si="34"/>
        <v>11391</v>
      </c>
      <c r="Q83" s="13">
        <f t="shared" si="35"/>
        <v>130232</v>
      </c>
    </row>
    <row r="84" spans="1:17" ht="12.75" x14ac:dyDescent="0.2">
      <c r="A84" s="18" t="s">
        <v>80</v>
      </c>
      <c r="B84" s="13">
        <v>4844</v>
      </c>
      <c r="C84" s="13">
        <v>15</v>
      </c>
      <c r="D84" s="13">
        <f>121136-C84-B84</f>
        <v>116277</v>
      </c>
      <c r="E84" s="13">
        <v>9498</v>
      </c>
      <c r="F84" s="13">
        <f t="shared" si="32"/>
        <v>111638</v>
      </c>
      <c r="G84" s="13">
        <v>1618</v>
      </c>
      <c r="H84" s="13">
        <v>5034</v>
      </c>
      <c r="I84" s="13">
        <v>3066</v>
      </c>
      <c r="J84" s="15">
        <v>0</v>
      </c>
      <c r="K84" s="15">
        <v>0</v>
      </c>
      <c r="L84" s="13">
        <f t="shared" si="33"/>
        <v>121356</v>
      </c>
      <c r="M84" s="13">
        <f t="shared" si="31"/>
        <v>130854</v>
      </c>
      <c r="N84" s="13">
        <v>30244</v>
      </c>
      <c r="O84" s="13">
        <v>14898</v>
      </c>
      <c r="P84" s="13">
        <f t="shared" si="34"/>
        <v>15346</v>
      </c>
      <c r="Q84" s="13">
        <f t="shared" si="35"/>
        <v>136702</v>
      </c>
    </row>
    <row r="85" spans="1:17" ht="12.75" x14ac:dyDescent="0.2">
      <c r="A85" s="18" t="s">
        <v>92</v>
      </c>
      <c r="B85" s="13">
        <v>4844</v>
      </c>
      <c r="C85" s="13">
        <v>169</v>
      </c>
      <c r="D85" s="13">
        <f>115429-C85-B85</f>
        <v>110416</v>
      </c>
      <c r="E85" s="13">
        <v>12691</v>
      </c>
      <c r="F85" s="13">
        <f t="shared" si="32"/>
        <v>102738</v>
      </c>
      <c r="G85" s="13">
        <v>1570</v>
      </c>
      <c r="H85" s="13">
        <v>5034</v>
      </c>
      <c r="I85" s="13">
        <v>3066</v>
      </c>
      <c r="J85" s="15">
        <v>0</v>
      </c>
      <c r="K85" s="15">
        <v>0</v>
      </c>
      <c r="L85" s="13">
        <f t="shared" si="33"/>
        <v>112408</v>
      </c>
      <c r="M85" s="13">
        <f t="shared" si="31"/>
        <v>125099</v>
      </c>
      <c r="N85" s="13">
        <v>31305</v>
      </c>
      <c r="O85" s="13">
        <v>15106</v>
      </c>
      <c r="P85" s="13">
        <f t="shared" si="34"/>
        <v>16199</v>
      </c>
      <c r="Q85" s="13">
        <f t="shared" si="35"/>
        <v>128607</v>
      </c>
    </row>
    <row r="86" spans="1:17" ht="12.75" x14ac:dyDescent="0.2">
      <c r="A86" s="18" t="s">
        <v>93</v>
      </c>
      <c r="B86" s="13">
        <v>4837</v>
      </c>
      <c r="C86" s="13">
        <v>12</v>
      </c>
      <c r="D86" s="13">
        <f>112354-C86-B86</f>
        <v>107505</v>
      </c>
      <c r="E86" s="13">
        <v>11760</v>
      </c>
      <c r="F86" s="13">
        <f t="shared" si="32"/>
        <v>100594</v>
      </c>
      <c r="G86" s="13">
        <v>631</v>
      </c>
      <c r="H86" s="13">
        <v>5034</v>
      </c>
      <c r="I86" s="13">
        <v>3066</v>
      </c>
      <c r="J86" s="15">
        <v>0</v>
      </c>
      <c r="K86" s="15">
        <v>0</v>
      </c>
      <c r="L86" s="13">
        <f t="shared" si="33"/>
        <v>109325</v>
      </c>
      <c r="M86" s="13">
        <f t="shared" si="31"/>
        <v>121085</v>
      </c>
      <c r="N86" s="13">
        <v>33069</v>
      </c>
      <c r="O86" s="13">
        <v>14545</v>
      </c>
      <c r="P86" s="13">
        <f t="shared" si="34"/>
        <v>18524</v>
      </c>
      <c r="Q86" s="13">
        <f t="shared" si="35"/>
        <v>127849</v>
      </c>
    </row>
    <row r="87" spans="1:17" ht="12.75" x14ac:dyDescent="0.2">
      <c r="A87" s="18" t="s">
        <v>81</v>
      </c>
      <c r="B87" s="13">
        <v>4974</v>
      </c>
      <c r="C87" s="13">
        <v>12</v>
      </c>
      <c r="D87" s="13">
        <f>119720-C87-B87</f>
        <v>114734</v>
      </c>
      <c r="E87" s="13">
        <v>10759</v>
      </c>
      <c r="F87" s="13">
        <f t="shared" si="32"/>
        <v>108961</v>
      </c>
      <c r="G87" s="13">
        <v>469</v>
      </c>
      <c r="H87" s="13">
        <v>3711</v>
      </c>
      <c r="I87" s="13">
        <v>1898</v>
      </c>
      <c r="J87" s="15">
        <v>0</v>
      </c>
      <c r="K87" s="15">
        <v>0</v>
      </c>
      <c r="L87" s="13">
        <f t="shared" si="33"/>
        <v>115039</v>
      </c>
      <c r="M87" s="13">
        <f t="shared" si="31"/>
        <v>125798</v>
      </c>
      <c r="N87" s="13">
        <v>24718</v>
      </c>
      <c r="O87" s="13">
        <v>15471</v>
      </c>
      <c r="P87" s="13">
        <f t="shared" si="34"/>
        <v>9247</v>
      </c>
      <c r="Q87" s="13">
        <f t="shared" si="35"/>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6">B89+C89+D89-E89</f>
        <v>105574</v>
      </c>
      <c r="G89" s="13">
        <v>157</v>
      </c>
      <c r="H89" s="13">
        <v>3711</v>
      </c>
      <c r="I89" s="13">
        <v>1898</v>
      </c>
      <c r="J89" s="15">
        <v>0</v>
      </c>
      <c r="K89" s="15">
        <v>0</v>
      </c>
      <c r="L89" s="13">
        <f t="shared" ref="L89:L100" si="37">SUM(F89:K89)</f>
        <v>111340</v>
      </c>
      <c r="M89" s="13">
        <f t="shared" si="31"/>
        <v>122320</v>
      </c>
      <c r="N89" s="13">
        <v>24318</v>
      </c>
      <c r="O89" s="13">
        <v>10311</v>
      </c>
      <c r="P89" s="13">
        <f t="shared" ref="P89:P100" si="38">N89-O89</f>
        <v>14007</v>
      </c>
      <c r="Q89" s="13">
        <f t="shared" ref="Q89:Q100" si="39">L89+P89</f>
        <v>125347</v>
      </c>
    </row>
    <row r="90" spans="1:17" ht="12.75" x14ac:dyDescent="0.2">
      <c r="A90" s="18" t="s">
        <v>87</v>
      </c>
      <c r="B90" s="13">
        <v>5018</v>
      </c>
      <c r="C90" s="13">
        <v>77</v>
      </c>
      <c r="D90" s="13">
        <f>117757-C90-B90</f>
        <v>112662</v>
      </c>
      <c r="E90" s="13">
        <v>8784</v>
      </c>
      <c r="F90" s="13">
        <f t="shared" si="36"/>
        <v>108973</v>
      </c>
      <c r="G90" s="13">
        <v>354</v>
      </c>
      <c r="H90" s="13">
        <v>3711</v>
      </c>
      <c r="I90" s="13">
        <v>1898</v>
      </c>
      <c r="J90" s="15">
        <v>0</v>
      </c>
      <c r="K90" s="15">
        <v>0</v>
      </c>
      <c r="L90" s="13">
        <f t="shared" si="37"/>
        <v>114936</v>
      </c>
      <c r="M90" s="13">
        <f t="shared" si="31"/>
        <v>123720</v>
      </c>
      <c r="N90" s="13">
        <v>26286</v>
      </c>
      <c r="O90" s="13">
        <v>10465</v>
      </c>
      <c r="P90" s="13">
        <f t="shared" si="38"/>
        <v>15821</v>
      </c>
      <c r="Q90" s="13">
        <f t="shared" si="39"/>
        <v>130757</v>
      </c>
    </row>
    <row r="91" spans="1:17" ht="12.75" x14ac:dyDescent="0.2">
      <c r="A91" s="18" t="s">
        <v>78</v>
      </c>
      <c r="B91" s="13">
        <v>4984</v>
      </c>
      <c r="C91" s="13">
        <v>77</v>
      </c>
      <c r="D91" s="13">
        <f>116868-C91-B91</f>
        <v>111807</v>
      </c>
      <c r="E91" s="13">
        <v>8638</v>
      </c>
      <c r="F91" s="13">
        <f t="shared" si="36"/>
        <v>108230</v>
      </c>
      <c r="G91" s="13">
        <v>3414</v>
      </c>
      <c r="H91" s="13">
        <v>2755</v>
      </c>
      <c r="I91" s="13">
        <v>3033</v>
      </c>
      <c r="J91" s="15">
        <v>0</v>
      </c>
      <c r="K91" s="15">
        <v>0</v>
      </c>
      <c r="L91" s="13">
        <f t="shared" si="37"/>
        <v>117432</v>
      </c>
      <c r="M91" s="13">
        <f t="shared" si="31"/>
        <v>126070</v>
      </c>
      <c r="N91" s="13">
        <v>30710</v>
      </c>
      <c r="O91" s="13">
        <v>12114</v>
      </c>
      <c r="P91" s="13">
        <f t="shared" si="38"/>
        <v>18596</v>
      </c>
      <c r="Q91" s="13">
        <f t="shared" si="39"/>
        <v>136028</v>
      </c>
    </row>
    <row r="92" spans="1:17" ht="12.75" x14ac:dyDescent="0.2">
      <c r="A92" s="18" t="s">
        <v>88</v>
      </c>
      <c r="B92" s="13">
        <v>4924</v>
      </c>
      <c r="C92" s="13">
        <v>77</v>
      </c>
      <c r="D92" s="13">
        <f>119856-C92-B92</f>
        <v>114855</v>
      </c>
      <c r="E92" s="13">
        <v>7455</v>
      </c>
      <c r="F92" s="13">
        <f t="shared" si="36"/>
        <v>112401</v>
      </c>
      <c r="G92" s="13">
        <v>3609</v>
      </c>
      <c r="H92" s="13">
        <v>2755</v>
      </c>
      <c r="I92" s="13">
        <v>3033</v>
      </c>
      <c r="J92" s="15">
        <v>0</v>
      </c>
      <c r="K92" s="15">
        <v>0</v>
      </c>
      <c r="L92" s="13">
        <f t="shared" si="37"/>
        <v>121798</v>
      </c>
      <c r="M92" s="13">
        <f t="shared" si="31"/>
        <v>129253</v>
      </c>
      <c r="N92" s="13">
        <v>35061</v>
      </c>
      <c r="O92" s="13">
        <v>9704</v>
      </c>
      <c r="P92" s="13">
        <f t="shared" si="38"/>
        <v>25357</v>
      </c>
      <c r="Q92" s="13">
        <f t="shared" si="39"/>
        <v>147155</v>
      </c>
    </row>
    <row r="93" spans="1:17" ht="12.75" x14ac:dyDescent="0.2">
      <c r="A93" s="18" t="s">
        <v>89</v>
      </c>
      <c r="B93" s="13">
        <v>4924</v>
      </c>
      <c r="C93" s="13">
        <v>12</v>
      </c>
      <c r="D93" s="13">
        <f>125111-C93-B93</f>
        <v>120175</v>
      </c>
      <c r="E93" s="13">
        <v>9083</v>
      </c>
      <c r="F93" s="13">
        <f t="shared" si="36"/>
        <v>116028</v>
      </c>
      <c r="G93" s="13">
        <v>3727</v>
      </c>
      <c r="H93" s="13">
        <v>2755</v>
      </c>
      <c r="I93" s="13">
        <v>3033</v>
      </c>
      <c r="J93" s="15">
        <v>0</v>
      </c>
      <c r="K93" s="15">
        <v>0</v>
      </c>
      <c r="L93" s="13">
        <f t="shared" si="37"/>
        <v>125543</v>
      </c>
      <c r="M93" s="13">
        <f t="shared" si="31"/>
        <v>134626</v>
      </c>
      <c r="N93" s="13">
        <v>36746</v>
      </c>
      <c r="O93" s="13">
        <v>4275</v>
      </c>
      <c r="P93" s="13">
        <f t="shared" si="38"/>
        <v>32471</v>
      </c>
      <c r="Q93" s="13">
        <f t="shared" si="39"/>
        <v>158014</v>
      </c>
    </row>
    <row r="94" spans="1:17" ht="12.75" x14ac:dyDescent="0.2">
      <c r="A94" s="18" t="s">
        <v>79</v>
      </c>
      <c r="B94" s="13">
        <v>4966</v>
      </c>
      <c r="C94" s="13">
        <v>13</v>
      </c>
      <c r="D94" s="13">
        <f>126848-C94-B94</f>
        <v>121869</v>
      </c>
      <c r="E94" s="13">
        <v>5908</v>
      </c>
      <c r="F94" s="13">
        <f t="shared" si="36"/>
        <v>120940</v>
      </c>
      <c r="G94" s="13">
        <v>3762</v>
      </c>
      <c r="H94" s="13">
        <v>2826</v>
      </c>
      <c r="I94" s="13">
        <v>3296</v>
      </c>
      <c r="J94" s="15">
        <v>0</v>
      </c>
      <c r="K94" s="15">
        <v>0</v>
      </c>
      <c r="L94" s="13">
        <f t="shared" si="37"/>
        <v>130824</v>
      </c>
      <c r="M94" s="13">
        <f t="shared" si="31"/>
        <v>136732</v>
      </c>
      <c r="N94" s="13">
        <v>31850</v>
      </c>
      <c r="O94" s="13">
        <v>6926</v>
      </c>
      <c r="P94" s="13">
        <f t="shared" si="38"/>
        <v>24924</v>
      </c>
      <c r="Q94" s="13">
        <f t="shared" si="39"/>
        <v>155748</v>
      </c>
    </row>
    <row r="95" spans="1:17" ht="12.75" x14ac:dyDescent="0.2">
      <c r="A95" s="18" t="s">
        <v>90</v>
      </c>
      <c r="B95" s="13">
        <v>5011</v>
      </c>
      <c r="C95" s="13">
        <v>30</v>
      </c>
      <c r="D95" s="13">
        <f>137452-C95-B95</f>
        <v>132411</v>
      </c>
      <c r="E95" s="13">
        <v>6474</v>
      </c>
      <c r="F95" s="13">
        <f t="shared" si="36"/>
        <v>130978</v>
      </c>
      <c r="G95" s="13">
        <v>4360</v>
      </c>
      <c r="H95" s="13">
        <v>2826</v>
      </c>
      <c r="I95" s="13">
        <v>3296</v>
      </c>
      <c r="J95" s="15">
        <v>0</v>
      </c>
      <c r="K95" s="15">
        <v>0</v>
      </c>
      <c r="L95" s="13">
        <f t="shared" si="37"/>
        <v>141460</v>
      </c>
      <c r="M95" s="13">
        <f t="shared" si="31"/>
        <v>147934</v>
      </c>
      <c r="N95" s="13">
        <v>32865</v>
      </c>
      <c r="O95" s="13">
        <v>8366</v>
      </c>
      <c r="P95" s="13">
        <f t="shared" si="38"/>
        <v>24499</v>
      </c>
      <c r="Q95" s="13">
        <f t="shared" si="39"/>
        <v>165959</v>
      </c>
    </row>
    <row r="96" spans="1:17" ht="12.75" x14ac:dyDescent="0.2">
      <c r="A96" s="18" t="s">
        <v>91</v>
      </c>
      <c r="B96" s="13">
        <v>5169</v>
      </c>
      <c r="C96" s="13">
        <v>28</v>
      </c>
      <c r="D96" s="13">
        <f>138632-C96-B96</f>
        <v>133435</v>
      </c>
      <c r="E96" s="13">
        <v>6105</v>
      </c>
      <c r="F96" s="13">
        <f t="shared" si="36"/>
        <v>132527</v>
      </c>
      <c r="G96" s="13">
        <v>2615</v>
      </c>
      <c r="H96" s="13">
        <v>2826</v>
      </c>
      <c r="I96" s="13">
        <v>3296</v>
      </c>
      <c r="J96" s="15">
        <v>0</v>
      </c>
      <c r="K96" s="15">
        <v>0</v>
      </c>
      <c r="L96" s="13">
        <f t="shared" si="37"/>
        <v>141264</v>
      </c>
      <c r="M96" s="13">
        <f t="shared" si="31"/>
        <v>147369</v>
      </c>
      <c r="N96" s="13">
        <v>26547</v>
      </c>
      <c r="O96" s="13">
        <v>7122</v>
      </c>
      <c r="P96" s="13">
        <f t="shared" si="38"/>
        <v>19425</v>
      </c>
      <c r="Q96" s="13">
        <f t="shared" si="39"/>
        <v>160689</v>
      </c>
    </row>
    <row r="97" spans="1:17" ht="12.75" x14ac:dyDescent="0.2">
      <c r="A97" s="18" t="s">
        <v>80</v>
      </c>
      <c r="B97" s="13">
        <v>5246</v>
      </c>
      <c r="C97" s="13">
        <v>28</v>
      </c>
      <c r="D97" s="13">
        <f>139678-C97-B97</f>
        <v>134404</v>
      </c>
      <c r="E97" s="13">
        <v>6459</v>
      </c>
      <c r="F97" s="13">
        <f t="shared" si="36"/>
        <v>133219</v>
      </c>
      <c r="G97" s="13">
        <v>2601</v>
      </c>
      <c r="H97" s="13">
        <v>3007</v>
      </c>
      <c r="I97" s="13">
        <v>5456</v>
      </c>
      <c r="J97" s="15">
        <v>0</v>
      </c>
      <c r="K97" s="15">
        <v>0</v>
      </c>
      <c r="L97" s="13">
        <f t="shared" si="37"/>
        <v>144283</v>
      </c>
      <c r="M97" s="13">
        <f t="shared" si="31"/>
        <v>150742</v>
      </c>
      <c r="N97" s="13">
        <v>27799</v>
      </c>
      <c r="O97" s="13">
        <v>3968</v>
      </c>
      <c r="P97" s="13">
        <f t="shared" si="38"/>
        <v>23831</v>
      </c>
      <c r="Q97" s="13">
        <f t="shared" si="39"/>
        <v>168114</v>
      </c>
    </row>
    <row r="98" spans="1:17" ht="12.75" x14ac:dyDescent="0.2">
      <c r="A98" s="18" t="s">
        <v>92</v>
      </c>
      <c r="B98" s="13">
        <v>5271</v>
      </c>
      <c r="C98" s="13">
        <v>28</v>
      </c>
      <c r="D98" s="13">
        <f>144803-C98-B98</f>
        <v>139504</v>
      </c>
      <c r="E98" s="13">
        <v>8243</v>
      </c>
      <c r="F98" s="13">
        <f t="shared" si="36"/>
        <v>136560</v>
      </c>
      <c r="G98" s="13">
        <v>1696</v>
      </c>
      <c r="H98" s="13">
        <v>3007</v>
      </c>
      <c r="I98" s="13">
        <v>5456</v>
      </c>
      <c r="J98" s="15">
        <v>0</v>
      </c>
      <c r="K98" s="15">
        <v>0</v>
      </c>
      <c r="L98" s="13">
        <f t="shared" si="37"/>
        <v>146719</v>
      </c>
      <c r="M98" s="13">
        <f t="shared" si="31"/>
        <v>154962</v>
      </c>
      <c r="N98" s="13">
        <v>30530</v>
      </c>
      <c r="O98" s="13">
        <v>18212</v>
      </c>
      <c r="P98" s="13">
        <f t="shared" si="38"/>
        <v>12318</v>
      </c>
      <c r="Q98" s="13">
        <f t="shared" si="39"/>
        <v>159037</v>
      </c>
    </row>
    <row r="99" spans="1:17" ht="12.75" x14ac:dyDescent="0.2">
      <c r="A99" s="18" t="s">
        <v>93</v>
      </c>
      <c r="B99" s="13">
        <v>5416</v>
      </c>
      <c r="C99" s="13">
        <v>34</v>
      </c>
      <c r="D99" s="13">
        <f>146270-C99-B99</f>
        <v>140820</v>
      </c>
      <c r="E99" s="13">
        <f>11262-3000</f>
        <v>8262</v>
      </c>
      <c r="F99" s="13">
        <f t="shared" si="36"/>
        <v>138008</v>
      </c>
      <c r="G99" s="13">
        <v>498</v>
      </c>
      <c r="H99" s="13">
        <v>3007</v>
      </c>
      <c r="I99" s="13">
        <v>5456</v>
      </c>
      <c r="J99" s="15">
        <v>0</v>
      </c>
      <c r="K99" s="15">
        <v>0</v>
      </c>
      <c r="L99" s="13">
        <f t="shared" si="37"/>
        <v>146969</v>
      </c>
      <c r="M99" s="13">
        <f t="shared" si="31"/>
        <v>155231</v>
      </c>
      <c r="N99" s="13">
        <v>33450</v>
      </c>
      <c r="O99" s="13">
        <v>18236</v>
      </c>
      <c r="P99" s="13">
        <f t="shared" si="38"/>
        <v>15214</v>
      </c>
      <c r="Q99" s="13">
        <f t="shared" si="39"/>
        <v>162183</v>
      </c>
    </row>
    <row r="100" spans="1:17" ht="12.75" x14ac:dyDescent="0.2">
      <c r="A100" s="18" t="s">
        <v>81</v>
      </c>
      <c r="B100" s="13">
        <v>5416</v>
      </c>
      <c r="C100" s="13">
        <v>34</v>
      </c>
      <c r="D100" s="13">
        <f>139542-C100-B100</f>
        <v>134092</v>
      </c>
      <c r="E100" s="13">
        <f>9536-3000</f>
        <v>6536</v>
      </c>
      <c r="F100" s="13">
        <f t="shared" si="36"/>
        <v>133006</v>
      </c>
      <c r="G100" s="13">
        <v>288</v>
      </c>
      <c r="H100" s="13">
        <v>4254</v>
      </c>
      <c r="I100" s="13">
        <v>5696</v>
      </c>
      <c r="J100" s="15">
        <v>0</v>
      </c>
      <c r="K100" s="15">
        <v>0</v>
      </c>
      <c r="L100" s="13">
        <f t="shared" si="37"/>
        <v>143244</v>
      </c>
      <c r="M100" s="13">
        <f t="shared" si="31"/>
        <v>149780</v>
      </c>
      <c r="N100" s="13">
        <v>36669</v>
      </c>
      <c r="O100" s="13">
        <v>22333</v>
      </c>
      <c r="P100" s="13">
        <f t="shared" si="38"/>
        <v>14336</v>
      </c>
      <c r="Q100" s="13">
        <f t="shared" si="39"/>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0">B102+C102+D102-E102</f>
        <v>132106</v>
      </c>
      <c r="G102" s="13">
        <v>151</v>
      </c>
      <c r="H102" s="13">
        <v>4254</v>
      </c>
      <c r="I102" s="13">
        <v>5696</v>
      </c>
      <c r="J102" s="15">
        <v>0</v>
      </c>
      <c r="K102" s="15">
        <v>0</v>
      </c>
      <c r="L102" s="13">
        <f t="shared" ref="L102:L113" si="41">SUM(F102:K102)</f>
        <v>142207</v>
      </c>
      <c r="M102" s="13">
        <f t="shared" si="31"/>
        <v>148842</v>
      </c>
      <c r="N102" s="13">
        <v>44454</v>
      </c>
      <c r="O102" s="13">
        <v>20473</v>
      </c>
      <c r="P102" s="13">
        <f t="shared" ref="P102:P113" si="42">N102-O102</f>
        <v>23981</v>
      </c>
      <c r="Q102" s="13">
        <f t="shared" ref="Q102:Q113" si="43">L102+P102</f>
        <v>166188</v>
      </c>
    </row>
    <row r="103" spans="1:17" ht="12.75" x14ac:dyDescent="0.2">
      <c r="A103" s="18" t="s">
        <v>87</v>
      </c>
      <c r="B103" s="13">
        <v>5431</v>
      </c>
      <c r="C103" s="13">
        <v>66</v>
      </c>
      <c r="D103" s="13">
        <v>134209</v>
      </c>
      <c r="E103" s="13">
        <f>10379-3000</f>
        <v>7379</v>
      </c>
      <c r="F103" s="13">
        <f t="shared" si="40"/>
        <v>132327</v>
      </c>
      <c r="G103" s="13">
        <v>458</v>
      </c>
      <c r="H103" s="13">
        <v>4254</v>
      </c>
      <c r="I103" s="13">
        <v>5696</v>
      </c>
      <c r="J103" s="15">
        <v>0</v>
      </c>
      <c r="K103" s="15">
        <v>0</v>
      </c>
      <c r="L103" s="13">
        <f t="shared" si="41"/>
        <v>142735</v>
      </c>
      <c r="M103" s="13">
        <f t="shared" si="31"/>
        <v>150114</v>
      </c>
      <c r="N103" s="13">
        <v>47259</v>
      </c>
      <c r="O103" s="13">
        <v>20537</v>
      </c>
      <c r="P103" s="13">
        <f t="shared" si="42"/>
        <v>26722</v>
      </c>
      <c r="Q103" s="13">
        <f t="shared" si="43"/>
        <v>169457</v>
      </c>
    </row>
    <row r="104" spans="1:17" ht="12.75" x14ac:dyDescent="0.2">
      <c r="A104" s="18" t="s">
        <v>78</v>
      </c>
      <c r="B104" s="13">
        <v>5377</v>
      </c>
      <c r="C104" s="13">
        <v>66</v>
      </c>
      <c r="D104" s="13">
        <v>133953</v>
      </c>
      <c r="E104" s="13">
        <f>8194-3000</f>
        <v>5194</v>
      </c>
      <c r="F104" s="13">
        <f t="shared" si="40"/>
        <v>134202</v>
      </c>
      <c r="G104" s="13">
        <v>3000</v>
      </c>
      <c r="H104" s="13">
        <v>4673</v>
      </c>
      <c r="I104" s="13">
        <v>3380</v>
      </c>
      <c r="J104" s="15">
        <v>0</v>
      </c>
      <c r="K104" s="15">
        <v>0</v>
      </c>
      <c r="L104" s="13">
        <f t="shared" si="41"/>
        <v>145255</v>
      </c>
      <c r="M104" s="13">
        <f t="shared" si="31"/>
        <v>150449</v>
      </c>
      <c r="N104" s="13">
        <v>43982</v>
      </c>
      <c r="O104" s="13">
        <v>12837</v>
      </c>
      <c r="P104" s="13">
        <f t="shared" si="42"/>
        <v>31145</v>
      </c>
      <c r="Q104" s="13">
        <f t="shared" si="43"/>
        <v>176400</v>
      </c>
    </row>
    <row r="105" spans="1:17" ht="12.75" x14ac:dyDescent="0.2">
      <c r="A105" s="18" t="s">
        <v>88</v>
      </c>
      <c r="B105" s="13">
        <v>5096</v>
      </c>
      <c r="C105" s="13">
        <v>66</v>
      </c>
      <c r="D105" s="13">
        <v>134001</v>
      </c>
      <c r="E105" s="13">
        <f>8384-3000</f>
        <v>5384</v>
      </c>
      <c r="F105" s="13">
        <f t="shared" si="40"/>
        <v>133779</v>
      </c>
      <c r="G105" s="13">
        <v>1330</v>
      </c>
      <c r="H105" s="13">
        <v>4673</v>
      </c>
      <c r="I105" s="13">
        <v>3380</v>
      </c>
      <c r="J105" s="15">
        <v>0</v>
      </c>
      <c r="K105" s="15">
        <v>0</v>
      </c>
      <c r="L105" s="13">
        <f t="shared" si="41"/>
        <v>143162</v>
      </c>
      <c r="M105" s="13">
        <f t="shared" si="31"/>
        <v>148546</v>
      </c>
      <c r="N105" s="13">
        <v>43220</v>
      </c>
      <c r="O105" s="13">
        <v>11506</v>
      </c>
      <c r="P105" s="13">
        <f t="shared" si="42"/>
        <v>31714</v>
      </c>
      <c r="Q105" s="13">
        <f t="shared" si="43"/>
        <v>174876</v>
      </c>
    </row>
    <row r="106" spans="1:17" ht="12.75" x14ac:dyDescent="0.2">
      <c r="A106" s="18" t="s">
        <v>89</v>
      </c>
      <c r="B106" s="13">
        <v>5075</v>
      </c>
      <c r="C106" s="13">
        <v>117</v>
      </c>
      <c r="D106" s="13">
        <v>134295</v>
      </c>
      <c r="E106" s="13">
        <f>9368-3000</f>
        <v>6368</v>
      </c>
      <c r="F106" s="13">
        <f t="shared" si="40"/>
        <v>133119</v>
      </c>
      <c r="G106" s="13">
        <v>1266</v>
      </c>
      <c r="H106" s="13">
        <v>4673</v>
      </c>
      <c r="I106" s="13">
        <v>3380</v>
      </c>
      <c r="J106" s="15">
        <v>0</v>
      </c>
      <c r="K106" s="15">
        <v>0</v>
      </c>
      <c r="L106" s="13">
        <f t="shared" si="41"/>
        <v>142438</v>
      </c>
      <c r="M106" s="13">
        <f t="shared" si="31"/>
        <v>148806</v>
      </c>
      <c r="N106" s="13">
        <v>43626</v>
      </c>
      <c r="O106" s="13">
        <v>14266</v>
      </c>
      <c r="P106" s="13">
        <f t="shared" si="42"/>
        <v>29360</v>
      </c>
      <c r="Q106" s="13">
        <f t="shared" si="43"/>
        <v>171798</v>
      </c>
    </row>
    <row r="107" spans="1:17" ht="12.75" x14ac:dyDescent="0.2">
      <c r="A107" s="18" t="s">
        <v>79</v>
      </c>
      <c r="B107" s="13">
        <v>5075</v>
      </c>
      <c r="C107" s="13">
        <v>117</v>
      </c>
      <c r="D107" s="13">
        <v>134693</v>
      </c>
      <c r="E107" s="13">
        <f>8546-3000</f>
        <v>5546</v>
      </c>
      <c r="F107" s="13">
        <f t="shared" si="40"/>
        <v>134339</v>
      </c>
      <c r="G107" s="13">
        <v>1003</v>
      </c>
      <c r="H107" s="13">
        <v>4684</v>
      </c>
      <c r="I107" s="13">
        <v>5588</v>
      </c>
      <c r="J107" s="15">
        <v>0</v>
      </c>
      <c r="K107" s="15">
        <v>0</v>
      </c>
      <c r="L107" s="13">
        <f t="shared" si="41"/>
        <v>145614</v>
      </c>
      <c r="M107" s="13">
        <f t="shared" si="31"/>
        <v>151160</v>
      </c>
      <c r="N107" s="13">
        <v>40348</v>
      </c>
      <c r="O107" s="13">
        <v>12592</v>
      </c>
      <c r="P107" s="13">
        <f t="shared" si="42"/>
        <v>27756</v>
      </c>
      <c r="Q107" s="13">
        <f t="shared" si="43"/>
        <v>173370</v>
      </c>
    </row>
    <row r="108" spans="1:17" ht="12.75" x14ac:dyDescent="0.2">
      <c r="A108" s="18" t="s">
        <v>90</v>
      </c>
      <c r="B108" s="13">
        <v>4976</v>
      </c>
      <c r="C108" s="13">
        <v>123</v>
      </c>
      <c r="D108" s="13">
        <v>132365</v>
      </c>
      <c r="E108" s="13">
        <f>9161-3000</f>
        <v>6161</v>
      </c>
      <c r="F108" s="13">
        <f t="shared" si="40"/>
        <v>131303</v>
      </c>
      <c r="G108" s="13">
        <v>490</v>
      </c>
      <c r="H108" s="13">
        <v>4684</v>
      </c>
      <c r="I108" s="13">
        <v>5588</v>
      </c>
      <c r="J108" s="15">
        <v>0</v>
      </c>
      <c r="K108" s="15">
        <v>0</v>
      </c>
      <c r="L108" s="13">
        <f t="shared" si="41"/>
        <v>142065</v>
      </c>
      <c r="M108" s="13">
        <f t="shared" si="31"/>
        <v>148226</v>
      </c>
      <c r="N108" s="13">
        <v>37959</v>
      </c>
      <c r="O108" s="13">
        <v>6832</v>
      </c>
      <c r="P108" s="13">
        <f t="shared" si="42"/>
        <v>31127</v>
      </c>
      <c r="Q108" s="13">
        <f t="shared" si="43"/>
        <v>173192</v>
      </c>
    </row>
    <row r="109" spans="1:17" ht="12.75" x14ac:dyDescent="0.2">
      <c r="A109" s="18" t="s">
        <v>91</v>
      </c>
      <c r="B109" s="13">
        <v>5049</v>
      </c>
      <c r="C109" s="13">
        <v>111</v>
      </c>
      <c r="D109" s="13">
        <v>131156</v>
      </c>
      <c r="E109" s="13">
        <f>7880-3000</f>
        <v>4880</v>
      </c>
      <c r="F109" s="13">
        <f t="shared" si="40"/>
        <v>131436</v>
      </c>
      <c r="G109" s="13">
        <v>468</v>
      </c>
      <c r="H109" s="13">
        <v>4684</v>
      </c>
      <c r="I109" s="13">
        <v>5588</v>
      </c>
      <c r="J109" s="15">
        <v>0</v>
      </c>
      <c r="K109" s="15">
        <v>0</v>
      </c>
      <c r="L109" s="13">
        <f t="shared" si="41"/>
        <v>142176</v>
      </c>
      <c r="M109" s="13">
        <f t="shared" si="31"/>
        <v>147056</v>
      </c>
      <c r="N109" s="13">
        <v>27854</v>
      </c>
      <c r="O109" s="13">
        <v>7954</v>
      </c>
      <c r="P109" s="13">
        <f t="shared" si="42"/>
        <v>19900</v>
      </c>
      <c r="Q109" s="13">
        <f t="shared" si="43"/>
        <v>162076</v>
      </c>
    </row>
    <row r="110" spans="1:17" ht="12.75" x14ac:dyDescent="0.2">
      <c r="A110" s="18" t="s">
        <v>80</v>
      </c>
      <c r="B110" s="13">
        <v>5049</v>
      </c>
      <c r="C110" s="13">
        <v>157</v>
      </c>
      <c r="D110" s="13">
        <v>113535</v>
      </c>
      <c r="E110" s="13">
        <v>5494</v>
      </c>
      <c r="F110" s="13">
        <f t="shared" si="40"/>
        <v>113247</v>
      </c>
      <c r="G110" s="13">
        <v>158</v>
      </c>
      <c r="H110" s="13">
        <v>5455</v>
      </c>
      <c r="I110" s="13">
        <v>5834</v>
      </c>
      <c r="J110" s="15">
        <v>0</v>
      </c>
      <c r="K110" s="15">
        <v>0</v>
      </c>
      <c r="L110" s="13">
        <f t="shared" si="41"/>
        <v>124694</v>
      </c>
      <c r="M110" s="13">
        <f t="shared" si="31"/>
        <v>130188</v>
      </c>
      <c r="N110" s="13">
        <v>30084</v>
      </c>
      <c r="O110" s="13">
        <v>6185</v>
      </c>
      <c r="P110" s="13">
        <f t="shared" si="42"/>
        <v>23899</v>
      </c>
      <c r="Q110" s="13">
        <f t="shared" si="43"/>
        <v>148593</v>
      </c>
    </row>
    <row r="111" spans="1:17" ht="12.75" x14ac:dyDescent="0.2">
      <c r="A111" s="18" t="s">
        <v>92</v>
      </c>
      <c r="B111" s="13">
        <v>5178</v>
      </c>
      <c r="C111" s="13">
        <v>157</v>
      </c>
      <c r="D111" s="13">
        <v>105355</v>
      </c>
      <c r="E111" s="13">
        <v>6946</v>
      </c>
      <c r="F111" s="13">
        <f t="shared" si="40"/>
        <v>103744</v>
      </c>
      <c r="G111" s="13">
        <v>178</v>
      </c>
      <c r="H111" s="13">
        <v>5455</v>
      </c>
      <c r="I111" s="13">
        <v>5834</v>
      </c>
      <c r="J111" s="15">
        <v>0</v>
      </c>
      <c r="K111" s="15">
        <v>0</v>
      </c>
      <c r="L111" s="13">
        <f t="shared" si="41"/>
        <v>115211</v>
      </c>
      <c r="M111" s="13">
        <f t="shared" si="31"/>
        <v>122157</v>
      </c>
      <c r="N111" s="13">
        <v>29013</v>
      </c>
      <c r="O111" s="13">
        <v>6901</v>
      </c>
      <c r="P111" s="13">
        <f t="shared" si="42"/>
        <v>22112</v>
      </c>
      <c r="Q111" s="13">
        <f t="shared" si="43"/>
        <v>137323</v>
      </c>
    </row>
    <row r="112" spans="1:17" ht="12.75" x14ac:dyDescent="0.2">
      <c r="A112" s="18" t="s">
        <v>93</v>
      </c>
      <c r="B112" s="13">
        <v>5178</v>
      </c>
      <c r="C112" s="13">
        <v>152</v>
      </c>
      <c r="D112" s="13">
        <v>102493</v>
      </c>
      <c r="E112" s="13">
        <v>5285</v>
      </c>
      <c r="F112" s="13">
        <f t="shared" si="40"/>
        <v>102538</v>
      </c>
      <c r="G112" s="13">
        <v>405</v>
      </c>
      <c r="H112" s="13">
        <v>5455</v>
      </c>
      <c r="I112" s="13">
        <v>5834</v>
      </c>
      <c r="J112" s="15">
        <v>0</v>
      </c>
      <c r="K112" s="15">
        <v>0</v>
      </c>
      <c r="L112" s="13">
        <f t="shared" si="41"/>
        <v>114232</v>
      </c>
      <c r="M112" s="13">
        <f t="shared" si="31"/>
        <v>119517</v>
      </c>
      <c r="N112" s="13">
        <v>33418</v>
      </c>
      <c r="O112" s="13">
        <v>12037</v>
      </c>
      <c r="P112" s="13">
        <f t="shared" si="42"/>
        <v>21381</v>
      </c>
      <c r="Q112" s="13">
        <f t="shared" si="43"/>
        <v>135613</v>
      </c>
    </row>
    <row r="113" spans="1:17" ht="12.75" x14ac:dyDescent="0.2">
      <c r="A113" s="18" t="s">
        <v>81</v>
      </c>
      <c r="B113" s="13">
        <v>5226</v>
      </c>
      <c r="C113" s="13">
        <v>163</v>
      </c>
      <c r="D113" s="13">
        <v>96183</v>
      </c>
      <c r="E113" s="13">
        <f>15010-10000</f>
        <v>5010</v>
      </c>
      <c r="F113" s="13">
        <f t="shared" si="40"/>
        <v>96562</v>
      </c>
      <c r="G113" s="13">
        <v>306</v>
      </c>
      <c r="H113" s="13">
        <v>5782</v>
      </c>
      <c r="I113" s="13">
        <v>6009</v>
      </c>
      <c r="J113" s="15">
        <v>0</v>
      </c>
      <c r="K113" s="15">
        <v>0</v>
      </c>
      <c r="L113" s="13">
        <f t="shared" si="41"/>
        <v>108659</v>
      </c>
      <c r="M113" s="13">
        <f t="shared" si="31"/>
        <v>113669</v>
      </c>
      <c r="N113" s="13">
        <v>30636</v>
      </c>
      <c r="O113" s="13">
        <v>13539</v>
      </c>
      <c r="P113" s="13">
        <f t="shared" si="42"/>
        <v>17097</v>
      </c>
      <c r="Q113" s="13">
        <f t="shared" si="43"/>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4">B115+C115+D115-E115</f>
        <v>101813</v>
      </c>
      <c r="G115" s="13">
        <v>250</v>
      </c>
      <c r="H115" s="13">
        <v>5782</v>
      </c>
      <c r="I115" s="13">
        <v>6009</v>
      </c>
      <c r="J115" s="15">
        <v>0</v>
      </c>
      <c r="K115" s="15">
        <v>0</v>
      </c>
      <c r="L115" s="13">
        <f t="shared" ref="L115:L126" si="45">SUM(F115:K115)</f>
        <v>113854</v>
      </c>
      <c r="M115" s="13">
        <f>B115+C115+D115+G115+H115+I115+J115+K115</f>
        <v>118962</v>
      </c>
      <c r="N115" s="13">
        <v>42318</v>
      </c>
      <c r="O115" s="13">
        <v>23117</v>
      </c>
      <c r="P115" s="13">
        <f t="shared" ref="P115:P126" si="46">N115-O115</f>
        <v>19201</v>
      </c>
      <c r="Q115" s="13">
        <f>L115+P115</f>
        <v>133055</v>
      </c>
    </row>
    <row r="116" spans="1:17" ht="12.75" x14ac:dyDescent="0.2">
      <c r="A116" s="18" t="s">
        <v>87</v>
      </c>
      <c r="B116" s="13">
        <v>5227</v>
      </c>
      <c r="C116" s="13">
        <v>220</v>
      </c>
      <c r="D116" s="13">
        <f>121743-C116-B116</f>
        <v>116296</v>
      </c>
      <c r="E116" s="13">
        <f>16957-10000</f>
        <v>6957</v>
      </c>
      <c r="F116" s="13">
        <f t="shared" si="44"/>
        <v>114786</v>
      </c>
      <c r="G116" s="13">
        <v>651</v>
      </c>
      <c r="H116" s="13">
        <v>5782</v>
      </c>
      <c r="I116" s="13">
        <v>6009</v>
      </c>
      <c r="J116" s="15">
        <v>0</v>
      </c>
      <c r="K116" s="15">
        <v>0</v>
      </c>
      <c r="L116" s="13">
        <f t="shared" si="45"/>
        <v>127228</v>
      </c>
      <c r="M116" s="13">
        <f t="shared" ref="M116:M165" si="47">B116+C116+D116+G116+H116+I116+J116+K116</f>
        <v>134185</v>
      </c>
      <c r="N116" s="13">
        <v>30444</v>
      </c>
      <c r="O116" s="13">
        <v>21497</v>
      </c>
      <c r="P116" s="13">
        <f t="shared" si="46"/>
        <v>8947</v>
      </c>
      <c r="Q116" s="13">
        <f t="shared" ref="Q116:Q126" si="48">L116+P116</f>
        <v>136175</v>
      </c>
    </row>
    <row r="117" spans="1:17" ht="12.75" x14ac:dyDescent="0.2">
      <c r="A117" s="18" t="s">
        <v>78</v>
      </c>
      <c r="B117" s="13">
        <v>5289</v>
      </c>
      <c r="C117" s="13">
        <v>256</v>
      </c>
      <c r="D117" s="13">
        <f>122542-C117-B117</f>
        <v>116997</v>
      </c>
      <c r="E117" s="13">
        <f>16368-10000</f>
        <v>6368</v>
      </c>
      <c r="F117" s="13">
        <f t="shared" si="44"/>
        <v>116174</v>
      </c>
      <c r="G117" s="13">
        <v>512</v>
      </c>
      <c r="H117" s="13">
        <v>6210</v>
      </c>
      <c r="I117" s="13">
        <v>6074</v>
      </c>
      <c r="J117" s="15">
        <v>0</v>
      </c>
      <c r="K117" s="15">
        <v>0</v>
      </c>
      <c r="L117" s="13">
        <f t="shared" si="45"/>
        <v>128970</v>
      </c>
      <c r="M117" s="13">
        <f t="shared" si="47"/>
        <v>135338</v>
      </c>
      <c r="N117" s="13">
        <v>36508</v>
      </c>
      <c r="O117" s="13">
        <v>25828</v>
      </c>
      <c r="P117" s="13">
        <f t="shared" si="46"/>
        <v>10680</v>
      </c>
      <c r="Q117" s="13">
        <f t="shared" si="48"/>
        <v>139650</v>
      </c>
    </row>
    <row r="118" spans="1:17" ht="12.75" x14ac:dyDescent="0.2">
      <c r="A118" s="18" t="s">
        <v>88</v>
      </c>
      <c r="B118" s="13">
        <v>5192</v>
      </c>
      <c r="C118" s="13">
        <v>256</v>
      </c>
      <c r="D118" s="13">
        <f>128217-C118-B118</f>
        <v>122769</v>
      </c>
      <c r="E118" s="13">
        <f>17382-10000</f>
        <v>7382</v>
      </c>
      <c r="F118" s="13">
        <f t="shared" si="44"/>
        <v>120835</v>
      </c>
      <c r="G118" s="13">
        <v>530</v>
      </c>
      <c r="H118" s="13">
        <v>6210</v>
      </c>
      <c r="I118" s="13">
        <v>6074</v>
      </c>
      <c r="J118" s="15">
        <v>0</v>
      </c>
      <c r="K118" s="15">
        <v>0</v>
      </c>
      <c r="L118" s="13">
        <f t="shared" si="45"/>
        <v>133649</v>
      </c>
      <c r="M118" s="13">
        <f t="shared" si="47"/>
        <v>141031</v>
      </c>
      <c r="N118" s="13">
        <v>32970</v>
      </c>
      <c r="O118" s="13">
        <v>18113</v>
      </c>
      <c r="P118" s="13">
        <f t="shared" si="46"/>
        <v>14857</v>
      </c>
      <c r="Q118" s="13">
        <f t="shared" si="48"/>
        <v>148506</v>
      </c>
    </row>
    <row r="119" spans="1:17" ht="12.75" x14ac:dyDescent="0.2">
      <c r="A119" s="18" t="s">
        <v>89</v>
      </c>
      <c r="B119" s="13">
        <v>5125</v>
      </c>
      <c r="C119" s="13">
        <v>286</v>
      </c>
      <c r="D119" s="13">
        <f>129415-C119-B119</f>
        <v>124004</v>
      </c>
      <c r="E119" s="13">
        <f>15052-10000</f>
        <v>5052</v>
      </c>
      <c r="F119" s="13">
        <f t="shared" si="44"/>
        <v>124363</v>
      </c>
      <c r="G119" s="13">
        <v>133</v>
      </c>
      <c r="H119" s="13">
        <v>6210</v>
      </c>
      <c r="I119" s="13">
        <v>6074</v>
      </c>
      <c r="J119" s="15">
        <v>0</v>
      </c>
      <c r="K119" s="15">
        <v>0</v>
      </c>
      <c r="L119" s="13">
        <f t="shared" si="45"/>
        <v>136780</v>
      </c>
      <c r="M119" s="13">
        <f t="shared" si="47"/>
        <v>141832</v>
      </c>
      <c r="N119" s="13">
        <v>29882</v>
      </c>
      <c r="O119" s="13">
        <v>16654</v>
      </c>
      <c r="P119" s="13">
        <f t="shared" si="46"/>
        <v>13228</v>
      </c>
      <c r="Q119" s="13">
        <f t="shared" si="48"/>
        <v>150008</v>
      </c>
    </row>
    <row r="120" spans="1:17" ht="12.75" x14ac:dyDescent="0.2">
      <c r="A120" s="18" t="s">
        <v>79</v>
      </c>
      <c r="B120" s="13">
        <v>5285</v>
      </c>
      <c r="C120" s="13">
        <v>323</v>
      </c>
      <c r="D120" s="13">
        <f>136477-C120-B120</f>
        <v>130869</v>
      </c>
      <c r="E120" s="13">
        <f>17145-10000</f>
        <v>7145</v>
      </c>
      <c r="F120" s="13">
        <f t="shared" si="44"/>
        <v>129332</v>
      </c>
      <c r="G120" s="13">
        <v>337</v>
      </c>
      <c r="H120" s="13">
        <v>6223</v>
      </c>
      <c r="I120" s="13">
        <v>6181</v>
      </c>
      <c r="J120" s="15">
        <v>0</v>
      </c>
      <c r="K120" s="15">
        <v>0</v>
      </c>
      <c r="L120" s="13">
        <f t="shared" si="45"/>
        <v>142073</v>
      </c>
      <c r="M120" s="13">
        <f t="shared" si="47"/>
        <v>149218</v>
      </c>
      <c r="N120" s="13">
        <v>28800</v>
      </c>
      <c r="O120" s="13">
        <v>13327</v>
      </c>
      <c r="P120" s="13">
        <f t="shared" si="46"/>
        <v>15473</v>
      </c>
      <c r="Q120" s="13">
        <f t="shared" si="48"/>
        <v>157546</v>
      </c>
    </row>
    <row r="121" spans="1:17" ht="12.75" x14ac:dyDescent="0.2">
      <c r="A121" s="18" t="s">
        <v>90</v>
      </c>
      <c r="B121" s="13">
        <v>5417</v>
      </c>
      <c r="C121" s="13">
        <v>329</v>
      </c>
      <c r="D121" s="13">
        <f>126912-B121-C121</f>
        <v>121166</v>
      </c>
      <c r="E121" s="13">
        <f>16918-10000</f>
        <v>6918</v>
      </c>
      <c r="F121" s="13">
        <f t="shared" si="44"/>
        <v>119994</v>
      </c>
      <c r="G121" s="13">
        <v>680</v>
      </c>
      <c r="H121" s="13">
        <v>6223</v>
      </c>
      <c r="I121" s="13">
        <v>6181</v>
      </c>
      <c r="J121" s="15">
        <v>0</v>
      </c>
      <c r="K121" s="15">
        <v>0</v>
      </c>
      <c r="L121" s="13">
        <f t="shared" si="45"/>
        <v>133078</v>
      </c>
      <c r="M121" s="13">
        <f t="shared" si="47"/>
        <v>139996</v>
      </c>
      <c r="N121" s="13">
        <v>24255</v>
      </c>
      <c r="O121" s="13">
        <v>10459</v>
      </c>
      <c r="P121" s="13">
        <f t="shared" si="46"/>
        <v>13796</v>
      </c>
      <c r="Q121" s="13">
        <f t="shared" si="48"/>
        <v>146874</v>
      </c>
    </row>
    <row r="122" spans="1:17" ht="12.75" x14ac:dyDescent="0.2">
      <c r="A122" s="18" t="s">
        <v>91</v>
      </c>
      <c r="B122" s="13">
        <v>5598</v>
      </c>
      <c r="C122" s="13">
        <v>377</v>
      </c>
      <c r="D122" s="13">
        <f>125432-B122-C122</f>
        <v>119457</v>
      </c>
      <c r="E122" s="13">
        <f>18497-10000</f>
        <v>8497</v>
      </c>
      <c r="F122" s="13">
        <f t="shared" si="44"/>
        <v>116935</v>
      </c>
      <c r="G122" s="13">
        <v>573</v>
      </c>
      <c r="H122" s="13">
        <v>6223</v>
      </c>
      <c r="I122" s="13">
        <v>6181</v>
      </c>
      <c r="J122" s="15">
        <v>0</v>
      </c>
      <c r="K122" s="15">
        <v>0</v>
      </c>
      <c r="L122" s="13">
        <f t="shared" si="45"/>
        <v>129912</v>
      </c>
      <c r="M122" s="13">
        <f t="shared" si="47"/>
        <v>138409</v>
      </c>
      <c r="N122" s="13">
        <v>39209</v>
      </c>
      <c r="O122" s="13">
        <v>13159</v>
      </c>
      <c r="P122" s="13">
        <f t="shared" si="46"/>
        <v>26050</v>
      </c>
      <c r="Q122" s="13">
        <f t="shared" si="48"/>
        <v>155962</v>
      </c>
    </row>
    <row r="123" spans="1:17" ht="12.75" x14ac:dyDescent="0.2">
      <c r="A123" s="18" t="s">
        <v>80</v>
      </c>
      <c r="B123" s="13">
        <v>5598</v>
      </c>
      <c r="C123" s="13">
        <v>377</v>
      </c>
      <c r="D123" s="13">
        <f>134535-B123-C123-G123-H123-I123</f>
        <v>115344</v>
      </c>
      <c r="E123" s="13">
        <f>16877-10000</f>
        <v>6877</v>
      </c>
      <c r="F123" s="13">
        <f t="shared" si="44"/>
        <v>114442</v>
      </c>
      <c r="G123" s="13">
        <v>326</v>
      </c>
      <c r="H123" s="13">
        <v>6543</v>
      </c>
      <c r="I123" s="13">
        <v>6347</v>
      </c>
      <c r="J123" s="15">
        <v>0</v>
      </c>
      <c r="K123" s="15">
        <v>0</v>
      </c>
      <c r="L123" s="13">
        <f t="shared" si="45"/>
        <v>127658</v>
      </c>
      <c r="M123" s="13">
        <f t="shared" si="47"/>
        <v>134535</v>
      </c>
      <c r="N123" s="13">
        <v>23526</v>
      </c>
      <c r="O123" s="13">
        <v>10828</v>
      </c>
      <c r="P123" s="13">
        <f t="shared" si="46"/>
        <v>12698</v>
      </c>
      <c r="Q123" s="13">
        <f t="shared" si="48"/>
        <v>140356</v>
      </c>
    </row>
    <row r="124" spans="1:17" ht="12.75" x14ac:dyDescent="0.2">
      <c r="A124" s="18" t="s">
        <v>92</v>
      </c>
      <c r="B124" s="13">
        <v>5575</v>
      </c>
      <c r="C124" s="13">
        <v>396</v>
      </c>
      <c r="D124" s="13">
        <f>117330-B124-C124-G124-H124-I124</f>
        <v>98112</v>
      </c>
      <c r="E124" s="13">
        <f>17581-10000</f>
        <v>7581</v>
      </c>
      <c r="F124" s="13">
        <f t="shared" si="44"/>
        <v>96502</v>
      </c>
      <c r="G124" s="13">
        <v>357</v>
      </c>
      <c r="H124" s="13">
        <v>6543</v>
      </c>
      <c r="I124" s="13">
        <v>6347</v>
      </c>
      <c r="J124" s="15">
        <v>0</v>
      </c>
      <c r="K124" s="15">
        <v>0</v>
      </c>
      <c r="L124" s="13">
        <f t="shared" si="45"/>
        <v>109749</v>
      </c>
      <c r="M124" s="13">
        <f t="shared" si="47"/>
        <v>117330</v>
      </c>
      <c r="N124" s="13">
        <v>25445</v>
      </c>
      <c r="O124" s="13">
        <v>12657</v>
      </c>
      <c r="P124" s="13">
        <f t="shared" si="46"/>
        <v>12788</v>
      </c>
      <c r="Q124" s="13">
        <f t="shared" si="48"/>
        <v>122537</v>
      </c>
    </row>
    <row r="125" spans="1:17" ht="12.75" x14ac:dyDescent="0.2">
      <c r="A125" s="18" t="s">
        <v>93</v>
      </c>
      <c r="B125" s="13">
        <v>5359</v>
      </c>
      <c r="C125" s="13">
        <v>3185</v>
      </c>
      <c r="D125" s="13">
        <v>85655</v>
      </c>
      <c r="E125" s="13">
        <f>18155-10000</f>
        <v>8155</v>
      </c>
      <c r="F125" s="13">
        <f t="shared" si="44"/>
        <v>86044</v>
      </c>
      <c r="G125" s="13">
        <v>319</v>
      </c>
      <c r="H125" s="13">
        <v>6543</v>
      </c>
      <c r="I125" s="13">
        <v>6347</v>
      </c>
      <c r="J125" s="15">
        <v>0</v>
      </c>
      <c r="K125" s="15">
        <v>0</v>
      </c>
      <c r="L125" s="13">
        <f t="shared" si="45"/>
        <v>99253</v>
      </c>
      <c r="M125" s="13">
        <f t="shared" si="47"/>
        <v>107408</v>
      </c>
      <c r="N125" s="13">
        <v>33327</v>
      </c>
      <c r="O125" s="13">
        <v>16977</v>
      </c>
      <c r="P125" s="13">
        <f t="shared" si="46"/>
        <v>16350</v>
      </c>
      <c r="Q125" s="13">
        <f t="shared" si="48"/>
        <v>115603</v>
      </c>
    </row>
    <row r="126" spans="1:17" ht="12.75" x14ac:dyDescent="0.2">
      <c r="A126" s="18" t="s">
        <v>81</v>
      </c>
      <c r="B126" s="13">
        <v>5220</v>
      </c>
      <c r="C126" s="13">
        <v>3222</v>
      </c>
      <c r="D126" s="13">
        <v>97443</v>
      </c>
      <c r="E126" s="13">
        <f>17576-9375</f>
        <v>8201</v>
      </c>
      <c r="F126" s="13">
        <f t="shared" si="44"/>
        <v>97684</v>
      </c>
      <c r="G126" s="13">
        <v>259</v>
      </c>
      <c r="H126" s="13">
        <v>6522</v>
      </c>
      <c r="I126" s="13">
        <v>6327</v>
      </c>
      <c r="J126" s="15">
        <v>0</v>
      </c>
      <c r="K126" s="15">
        <v>0</v>
      </c>
      <c r="L126" s="13">
        <f t="shared" si="45"/>
        <v>110792</v>
      </c>
      <c r="M126" s="13">
        <f t="shared" si="47"/>
        <v>118993</v>
      </c>
      <c r="N126" s="13">
        <v>23318</v>
      </c>
      <c r="O126" s="13">
        <v>31618</v>
      </c>
      <c r="P126" s="13">
        <f t="shared" si="46"/>
        <v>-8300</v>
      </c>
      <c r="Q126" s="13">
        <f t="shared" si="48"/>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49">B128+C128+D128-E128</f>
        <v>94896</v>
      </c>
      <c r="G128" s="13">
        <v>89</v>
      </c>
      <c r="H128" s="13">
        <v>6522</v>
      </c>
      <c r="I128" s="13">
        <v>6327</v>
      </c>
      <c r="J128" s="15">
        <v>0</v>
      </c>
      <c r="K128" s="15">
        <v>0</v>
      </c>
      <c r="L128" s="13">
        <f t="shared" ref="L128:L139" si="50">SUM(F128:K128)</f>
        <v>107834</v>
      </c>
      <c r="M128" s="13">
        <f t="shared" si="47"/>
        <v>117557</v>
      </c>
      <c r="N128" s="13">
        <v>23596</v>
      </c>
      <c r="O128" s="13">
        <v>5564</v>
      </c>
      <c r="P128" s="13">
        <f t="shared" ref="P128:P139" si="51">N128-O128</f>
        <v>18032</v>
      </c>
      <c r="Q128" s="13">
        <f t="shared" ref="Q128:Q139" si="52">L128+P128</f>
        <v>125866</v>
      </c>
    </row>
    <row r="129" spans="1:17" ht="12.75" x14ac:dyDescent="0.2">
      <c r="A129" s="18" t="s">
        <v>87</v>
      </c>
      <c r="B129" s="13">
        <v>7955</v>
      </c>
      <c r="C129" s="13">
        <v>469</v>
      </c>
      <c r="D129" s="13">
        <f>110086-B129-C129-G129-H129-I129</f>
        <v>88737</v>
      </c>
      <c r="E129" s="13">
        <f>16805-9375</f>
        <v>7430</v>
      </c>
      <c r="F129" s="13">
        <f t="shared" si="49"/>
        <v>89731</v>
      </c>
      <c r="G129" s="13">
        <v>76</v>
      </c>
      <c r="H129" s="13">
        <v>6522</v>
      </c>
      <c r="I129" s="13">
        <v>6327</v>
      </c>
      <c r="J129" s="15">
        <v>0</v>
      </c>
      <c r="K129" s="15">
        <v>0</v>
      </c>
      <c r="L129" s="13">
        <f t="shared" si="50"/>
        <v>102656</v>
      </c>
      <c r="M129" s="13">
        <f t="shared" si="47"/>
        <v>110086</v>
      </c>
      <c r="N129" s="13">
        <v>25871</v>
      </c>
      <c r="O129" s="13">
        <v>26110</v>
      </c>
      <c r="P129" s="13">
        <f t="shared" si="51"/>
        <v>-239</v>
      </c>
      <c r="Q129" s="13">
        <f t="shared" si="52"/>
        <v>102417</v>
      </c>
    </row>
    <row r="130" spans="1:17" ht="12.75" x14ac:dyDescent="0.2">
      <c r="A130" s="18" t="s">
        <v>78</v>
      </c>
      <c r="B130" s="13">
        <v>7955</v>
      </c>
      <c r="C130" s="13">
        <v>469</v>
      </c>
      <c r="D130" s="13">
        <f>103573-B130-C130-G130-H130-I130</f>
        <v>81720</v>
      </c>
      <c r="E130" s="13">
        <f>16522-9375</f>
        <v>7147</v>
      </c>
      <c r="F130" s="13">
        <f t="shared" si="49"/>
        <v>82997</v>
      </c>
      <c r="G130" s="13">
        <v>192</v>
      </c>
      <c r="H130" s="13">
        <v>6768</v>
      </c>
      <c r="I130" s="13">
        <v>6469</v>
      </c>
      <c r="J130" s="15">
        <v>0</v>
      </c>
      <c r="K130" s="15">
        <v>0</v>
      </c>
      <c r="L130" s="13">
        <f t="shared" si="50"/>
        <v>96426</v>
      </c>
      <c r="M130" s="13">
        <f t="shared" si="47"/>
        <v>103573</v>
      </c>
      <c r="N130" s="13">
        <v>41367</v>
      </c>
      <c r="O130" s="13">
        <v>27421</v>
      </c>
      <c r="P130" s="13">
        <f t="shared" si="51"/>
        <v>13946</v>
      </c>
      <c r="Q130" s="13">
        <f t="shared" si="52"/>
        <v>110372</v>
      </c>
    </row>
    <row r="131" spans="1:17" ht="12.75" x14ac:dyDescent="0.2">
      <c r="A131" s="18" t="s">
        <v>88</v>
      </c>
      <c r="B131" s="13">
        <v>7961</v>
      </c>
      <c r="C131" s="13">
        <v>470</v>
      </c>
      <c r="D131" s="13">
        <f>97629-B131-C131-G131-H131-I131</f>
        <v>75818</v>
      </c>
      <c r="E131" s="13">
        <f>16364-9375</f>
        <v>6989</v>
      </c>
      <c r="F131" s="13">
        <f t="shared" si="49"/>
        <v>77260</v>
      </c>
      <c r="G131" s="13">
        <v>143</v>
      </c>
      <c r="H131" s="13">
        <v>6768</v>
      </c>
      <c r="I131" s="13">
        <v>6469</v>
      </c>
      <c r="J131" s="15">
        <v>0</v>
      </c>
      <c r="K131" s="15">
        <v>0</v>
      </c>
      <c r="L131" s="13">
        <f t="shared" si="50"/>
        <v>90640</v>
      </c>
      <c r="M131" s="13">
        <f t="shared" si="47"/>
        <v>97629</v>
      </c>
      <c r="N131" s="13">
        <v>40506</v>
      </c>
      <c r="O131" s="13">
        <v>20749</v>
      </c>
      <c r="P131" s="13">
        <f t="shared" si="51"/>
        <v>19757</v>
      </c>
      <c r="Q131" s="13">
        <f t="shared" si="52"/>
        <v>110397</v>
      </c>
    </row>
    <row r="132" spans="1:17" ht="12.75" x14ac:dyDescent="0.2">
      <c r="A132" s="18" t="s">
        <v>89</v>
      </c>
      <c r="B132" s="13">
        <v>8086</v>
      </c>
      <c r="C132" s="13">
        <v>656</v>
      </c>
      <c r="D132" s="13">
        <f>99065-B132-C132-G132-H132-I132</f>
        <v>76979</v>
      </c>
      <c r="E132" s="13">
        <f>15788-9375</f>
        <v>6413</v>
      </c>
      <c r="F132" s="13">
        <f t="shared" si="49"/>
        <v>79308</v>
      </c>
      <c r="G132" s="13">
        <v>107</v>
      </c>
      <c r="H132" s="13">
        <v>6768</v>
      </c>
      <c r="I132" s="13">
        <v>6469</v>
      </c>
      <c r="J132" s="15">
        <v>0</v>
      </c>
      <c r="K132" s="15">
        <v>0</v>
      </c>
      <c r="L132" s="13">
        <f t="shared" si="50"/>
        <v>92652</v>
      </c>
      <c r="M132" s="13">
        <f t="shared" si="47"/>
        <v>99065</v>
      </c>
      <c r="N132" s="13">
        <v>53802</v>
      </c>
      <c r="O132" s="13">
        <v>31005</v>
      </c>
      <c r="P132" s="13">
        <f t="shared" si="51"/>
        <v>22797</v>
      </c>
      <c r="Q132" s="13">
        <f t="shared" si="52"/>
        <v>115449</v>
      </c>
    </row>
    <row r="133" spans="1:17" ht="12.75" x14ac:dyDescent="0.2">
      <c r="A133" s="18" t="s">
        <v>79</v>
      </c>
      <c r="B133" s="13">
        <v>8109</v>
      </c>
      <c r="C133" s="13">
        <v>680</v>
      </c>
      <c r="D133" s="13">
        <f>99863-B133-C133-G133-H133-I133</f>
        <v>77571</v>
      </c>
      <c r="E133" s="13">
        <f>14043-8750</f>
        <v>5293</v>
      </c>
      <c r="F133" s="13">
        <f t="shared" si="49"/>
        <v>81067</v>
      </c>
      <c r="G133" s="13">
        <v>48</v>
      </c>
      <c r="H133" s="13">
        <v>6986</v>
      </c>
      <c r="I133" s="13">
        <v>6469</v>
      </c>
      <c r="J133" s="15">
        <v>0</v>
      </c>
      <c r="K133" s="15">
        <v>0</v>
      </c>
      <c r="L133" s="13">
        <f t="shared" si="50"/>
        <v>94570</v>
      </c>
      <c r="M133" s="13">
        <f t="shared" si="47"/>
        <v>99863</v>
      </c>
      <c r="N133" s="13">
        <v>48357</v>
      </c>
      <c r="O133" s="13">
        <v>34716</v>
      </c>
      <c r="P133" s="13">
        <f t="shared" si="51"/>
        <v>13641</v>
      </c>
      <c r="Q133" s="13">
        <f t="shared" si="52"/>
        <v>108211</v>
      </c>
    </row>
    <row r="134" spans="1:17" ht="12.75" x14ac:dyDescent="0.2">
      <c r="A134" s="18" t="s">
        <v>90</v>
      </c>
      <c r="B134" s="13">
        <v>8109</v>
      </c>
      <c r="C134" s="13">
        <v>680</v>
      </c>
      <c r="D134" s="13">
        <f>89815-B134-C134-G134-H134-I134</f>
        <v>67325</v>
      </c>
      <c r="E134" s="13">
        <f>13164-8750</f>
        <v>4414</v>
      </c>
      <c r="F134" s="13">
        <f t="shared" si="49"/>
        <v>71700</v>
      </c>
      <c r="G134" s="13">
        <v>246</v>
      </c>
      <c r="H134" s="13">
        <v>6986</v>
      </c>
      <c r="I134" s="13">
        <v>6469</v>
      </c>
      <c r="J134" s="15">
        <v>0</v>
      </c>
      <c r="K134" s="15">
        <v>0</v>
      </c>
      <c r="L134" s="13">
        <f t="shared" si="50"/>
        <v>85401</v>
      </c>
      <c r="M134" s="13">
        <f t="shared" si="47"/>
        <v>89815</v>
      </c>
      <c r="N134" s="13">
        <v>43842</v>
      </c>
      <c r="O134" s="13">
        <v>46055</v>
      </c>
      <c r="P134" s="13">
        <f t="shared" si="51"/>
        <v>-2213</v>
      </c>
      <c r="Q134" s="13">
        <f t="shared" si="52"/>
        <v>83188</v>
      </c>
    </row>
    <row r="135" spans="1:17" ht="12.75" x14ac:dyDescent="0.2">
      <c r="A135" s="18" t="s">
        <v>91</v>
      </c>
      <c r="B135" s="13">
        <v>8120</v>
      </c>
      <c r="C135" s="13">
        <v>732</v>
      </c>
      <c r="D135" s="13">
        <f>86726-B135-C135-G135-H135-I135</f>
        <v>64191</v>
      </c>
      <c r="E135" s="13">
        <f>13278-8750</f>
        <v>4528</v>
      </c>
      <c r="F135" s="13">
        <f t="shared" si="49"/>
        <v>68515</v>
      </c>
      <c r="G135" s="13">
        <v>228</v>
      </c>
      <c r="H135" s="13">
        <v>6986</v>
      </c>
      <c r="I135" s="13">
        <v>6469</v>
      </c>
      <c r="J135" s="15">
        <v>0</v>
      </c>
      <c r="K135" s="15">
        <v>0</v>
      </c>
      <c r="L135" s="13">
        <f t="shared" si="50"/>
        <v>82198</v>
      </c>
      <c r="M135" s="13">
        <f t="shared" si="47"/>
        <v>86726</v>
      </c>
      <c r="N135" s="13">
        <v>45839</v>
      </c>
      <c r="O135" s="13">
        <v>43111</v>
      </c>
      <c r="P135" s="13">
        <f t="shared" si="51"/>
        <v>2728</v>
      </c>
      <c r="Q135" s="13">
        <f t="shared" si="52"/>
        <v>84926</v>
      </c>
    </row>
    <row r="136" spans="1:17" ht="12.75" x14ac:dyDescent="0.2">
      <c r="A136" s="18" t="s">
        <v>80</v>
      </c>
      <c r="B136" s="13">
        <v>8120</v>
      </c>
      <c r="C136" s="13">
        <v>732</v>
      </c>
      <c r="D136" s="13">
        <f>80832-B136-C136-G136-H136-I136</f>
        <v>58267</v>
      </c>
      <c r="E136" s="13">
        <f>14647-8750</f>
        <v>5897</v>
      </c>
      <c r="F136" s="13">
        <f t="shared" si="49"/>
        <v>61222</v>
      </c>
      <c r="G136" s="13">
        <v>258</v>
      </c>
      <c r="H136" s="13">
        <v>6986</v>
      </c>
      <c r="I136" s="13">
        <v>6469</v>
      </c>
      <c r="J136" s="15">
        <v>0</v>
      </c>
      <c r="K136" s="15">
        <v>0</v>
      </c>
      <c r="L136" s="13">
        <f t="shared" si="50"/>
        <v>74935</v>
      </c>
      <c r="M136" s="13">
        <f t="shared" si="47"/>
        <v>80832</v>
      </c>
      <c r="N136" s="13">
        <v>40719</v>
      </c>
      <c r="O136" s="13">
        <v>52804</v>
      </c>
      <c r="P136" s="13">
        <f t="shared" si="51"/>
        <v>-12085</v>
      </c>
      <c r="Q136" s="13">
        <f t="shared" si="52"/>
        <v>62850</v>
      </c>
    </row>
    <row r="137" spans="1:17" ht="12.75" x14ac:dyDescent="0.2">
      <c r="A137" s="18" t="s">
        <v>92</v>
      </c>
      <c r="B137" s="13">
        <v>8206</v>
      </c>
      <c r="C137" s="13">
        <v>745</v>
      </c>
      <c r="D137" s="13">
        <f>76937-B137-C137-G137-H137-I137</f>
        <v>54320</v>
      </c>
      <c r="E137" s="13">
        <f>13749-8750</f>
        <v>4999</v>
      </c>
      <c r="F137" s="13">
        <f t="shared" si="49"/>
        <v>58272</v>
      </c>
      <c r="G137" s="13">
        <v>211</v>
      </c>
      <c r="H137" s="13">
        <v>6986</v>
      </c>
      <c r="I137" s="13">
        <v>6469</v>
      </c>
      <c r="J137" s="15">
        <v>0</v>
      </c>
      <c r="K137" s="15">
        <v>0</v>
      </c>
      <c r="L137" s="13">
        <f t="shared" si="50"/>
        <v>71938</v>
      </c>
      <c r="M137" s="13">
        <f t="shared" si="47"/>
        <v>76937</v>
      </c>
      <c r="N137" s="13">
        <v>41064</v>
      </c>
      <c r="O137" s="13">
        <v>58843</v>
      </c>
      <c r="P137" s="13">
        <f t="shared" si="51"/>
        <v>-17779</v>
      </c>
      <c r="Q137" s="13">
        <f t="shared" si="52"/>
        <v>54159</v>
      </c>
    </row>
    <row r="138" spans="1:17" ht="12.75" x14ac:dyDescent="0.2">
      <c r="A138" s="18" t="s">
        <v>93</v>
      </c>
      <c r="B138" s="13">
        <v>8206</v>
      </c>
      <c r="C138" s="13">
        <v>811</v>
      </c>
      <c r="D138" s="13">
        <f>96057-B138-C138-G138-H138-I138</f>
        <v>73445</v>
      </c>
      <c r="E138" s="13">
        <f>13345-8750</f>
        <v>4595</v>
      </c>
      <c r="F138" s="13">
        <f t="shared" si="49"/>
        <v>77867</v>
      </c>
      <c r="G138" s="13">
        <v>140</v>
      </c>
      <c r="H138" s="13">
        <v>6986</v>
      </c>
      <c r="I138" s="13">
        <v>6469</v>
      </c>
      <c r="J138" s="15">
        <v>0</v>
      </c>
      <c r="K138" s="15">
        <v>0</v>
      </c>
      <c r="L138" s="13">
        <f t="shared" si="50"/>
        <v>91462</v>
      </c>
      <c r="M138" s="13">
        <f t="shared" si="47"/>
        <v>96057</v>
      </c>
      <c r="N138" s="13">
        <v>25005</v>
      </c>
      <c r="O138" s="13">
        <v>57028</v>
      </c>
      <c r="P138" s="13">
        <f t="shared" si="51"/>
        <v>-32023</v>
      </c>
      <c r="Q138" s="13">
        <f t="shared" si="52"/>
        <v>59439</v>
      </c>
    </row>
    <row r="139" spans="1:17" ht="12.75" x14ac:dyDescent="0.2">
      <c r="A139" s="18" t="s">
        <v>81</v>
      </c>
      <c r="B139" s="13">
        <v>8206</v>
      </c>
      <c r="C139" s="13">
        <v>811</v>
      </c>
      <c r="D139" s="13">
        <f>77282-B139-C139-G139-H139-I139</f>
        <v>54763</v>
      </c>
      <c r="E139" s="13">
        <f>13615-8125</f>
        <v>5490</v>
      </c>
      <c r="F139" s="13">
        <f t="shared" si="49"/>
        <v>58290</v>
      </c>
      <c r="G139" s="13">
        <v>47</v>
      </c>
      <c r="H139" s="13">
        <v>6986</v>
      </c>
      <c r="I139" s="13">
        <v>6469</v>
      </c>
      <c r="J139" s="15">
        <v>0</v>
      </c>
      <c r="K139" s="15">
        <v>0</v>
      </c>
      <c r="L139" s="13">
        <f t="shared" si="50"/>
        <v>71792</v>
      </c>
      <c r="M139" s="13">
        <f t="shared" si="47"/>
        <v>77282</v>
      </c>
      <c r="N139" s="13">
        <v>46386</v>
      </c>
      <c r="O139" s="13">
        <v>67364</v>
      </c>
      <c r="P139" s="13">
        <f t="shared" si="51"/>
        <v>-20978</v>
      </c>
      <c r="Q139" s="13">
        <f t="shared" si="52"/>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3">B141+C141+D141-E141</f>
        <v>55022</v>
      </c>
      <c r="G141" s="13">
        <v>33</v>
      </c>
      <c r="H141" s="13">
        <v>6986</v>
      </c>
      <c r="I141" s="13">
        <v>6469</v>
      </c>
      <c r="J141" s="15">
        <v>0</v>
      </c>
      <c r="K141" s="15">
        <v>0</v>
      </c>
      <c r="L141" s="13">
        <f t="shared" ref="L141:L152" si="54">SUM(F141:K141)</f>
        <v>68510</v>
      </c>
      <c r="M141" s="13">
        <f t="shared" si="47"/>
        <v>73150</v>
      </c>
      <c r="N141" s="13">
        <v>41828</v>
      </c>
      <c r="O141" s="13">
        <v>58803</v>
      </c>
      <c r="P141" s="13">
        <f t="shared" ref="P141:P152" si="55">N141-O141</f>
        <v>-16975</v>
      </c>
      <c r="Q141" s="13">
        <f t="shared" ref="Q141:Q152" si="56">L141+P141</f>
        <v>51535</v>
      </c>
    </row>
    <row r="142" spans="1:17" ht="12.75" x14ac:dyDescent="0.2">
      <c r="A142" s="18" t="s">
        <v>87</v>
      </c>
      <c r="B142" s="13">
        <v>7946</v>
      </c>
      <c r="C142" s="13">
        <v>811</v>
      </c>
      <c r="D142" s="13">
        <v>49013</v>
      </c>
      <c r="E142" s="13">
        <f>13806-8125</f>
        <v>5681</v>
      </c>
      <c r="F142" s="13">
        <f t="shared" si="53"/>
        <v>52089</v>
      </c>
      <c r="G142" s="13">
        <v>337</v>
      </c>
      <c r="H142" s="13">
        <v>6986</v>
      </c>
      <c r="I142" s="13">
        <v>6469</v>
      </c>
      <c r="J142" s="15">
        <v>0</v>
      </c>
      <c r="K142" s="15">
        <v>0</v>
      </c>
      <c r="L142" s="13">
        <f t="shared" si="54"/>
        <v>65881</v>
      </c>
      <c r="M142" s="13">
        <f t="shared" si="47"/>
        <v>71562</v>
      </c>
      <c r="N142" s="13">
        <v>48039</v>
      </c>
      <c r="O142" s="13">
        <v>55599</v>
      </c>
      <c r="P142" s="13">
        <f t="shared" si="55"/>
        <v>-7560</v>
      </c>
      <c r="Q142" s="13">
        <f t="shared" si="56"/>
        <v>58321</v>
      </c>
    </row>
    <row r="143" spans="1:17" ht="12.75" x14ac:dyDescent="0.2">
      <c r="A143" s="18" t="s">
        <v>78</v>
      </c>
      <c r="B143" s="13">
        <v>7987</v>
      </c>
      <c r="C143" s="13">
        <v>845</v>
      </c>
      <c r="D143" s="13">
        <v>49163</v>
      </c>
      <c r="E143" s="13">
        <f>12367-8125</f>
        <v>4242</v>
      </c>
      <c r="F143" s="13">
        <f t="shared" si="53"/>
        <v>53753</v>
      </c>
      <c r="G143" s="13">
        <v>1677</v>
      </c>
      <c r="H143" s="13">
        <v>6986</v>
      </c>
      <c r="I143" s="13">
        <v>6469</v>
      </c>
      <c r="J143" s="15">
        <v>0</v>
      </c>
      <c r="K143" s="15">
        <v>0</v>
      </c>
      <c r="L143" s="13">
        <f t="shared" si="54"/>
        <v>68885</v>
      </c>
      <c r="M143" s="13">
        <f t="shared" si="47"/>
        <v>73127</v>
      </c>
      <c r="N143" s="13">
        <v>52955</v>
      </c>
      <c r="O143" s="13">
        <v>47193</v>
      </c>
      <c r="P143" s="13">
        <f t="shared" si="55"/>
        <v>5762</v>
      </c>
      <c r="Q143" s="13">
        <f t="shared" si="56"/>
        <v>74647</v>
      </c>
    </row>
    <row r="144" spans="1:17" ht="12.75" x14ac:dyDescent="0.2">
      <c r="A144" s="18" t="s">
        <v>88</v>
      </c>
      <c r="B144" s="13">
        <v>7987</v>
      </c>
      <c r="C144" s="13">
        <v>845</v>
      </c>
      <c r="D144" s="13">
        <v>49602</v>
      </c>
      <c r="E144" s="13">
        <f>13884-8125</f>
        <v>5759</v>
      </c>
      <c r="F144" s="13">
        <f t="shared" si="53"/>
        <v>52675</v>
      </c>
      <c r="G144" s="13">
        <v>582</v>
      </c>
      <c r="H144" s="13">
        <v>6986</v>
      </c>
      <c r="I144" s="13">
        <v>6469</v>
      </c>
      <c r="J144" s="15">
        <v>0</v>
      </c>
      <c r="K144" s="15">
        <v>0</v>
      </c>
      <c r="L144" s="13">
        <f t="shared" si="54"/>
        <v>66712</v>
      </c>
      <c r="M144" s="13">
        <f t="shared" si="47"/>
        <v>72471</v>
      </c>
      <c r="N144" s="13">
        <v>58192</v>
      </c>
      <c r="O144" s="13">
        <v>45841</v>
      </c>
      <c r="P144" s="13">
        <f t="shared" si="55"/>
        <v>12351</v>
      </c>
      <c r="Q144" s="13">
        <f t="shared" si="56"/>
        <v>79063</v>
      </c>
    </row>
    <row r="145" spans="1:17" ht="12.75" x14ac:dyDescent="0.2">
      <c r="A145" s="18" t="s">
        <v>89</v>
      </c>
      <c r="B145" s="13">
        <v>8172</v>
      </c>
      <c r="C145" s="13">
        <v>930</v>
      </c>
      <c r="D145" s="13">
        <v>60000</v>
      </c>
      <c r="E145" s="13">
        <f>13438-8125</f>
        <v>5313</v>
      </c>
      <c r="F145" s="13">
        <f t="shared" si="53"/>
        <v>63789</v>
      </c>
      <c r="G145" s="13">
        <v>504</v>
      </c>
      <c r="H145" s="13">
        <v>6986</v>
      </c>
      <c r="I145" s="13">
        <v>6469</v>
      </c>
      <c r="J145" s="15">
        <v>0</v>
      </c>
      <c r="K145" s="15">
        <v>0</v>
      </c>
      <c r="L145" s="13">
        <f t="shared" si="54"/>
        <v>77748</v>
      </c>
      <c r="M145" s="13">
        <f t="shared" si="47"/>
        <v>83061</v>
      </c>
      <c r="N145" s="13">
        <v>46903</v>
      </c>
      <c r="O145" s="13">
        <v>46594</v>
      </c>
      <c r="P145" s="13">
        <f t="shared" si="55"/>
        <v>309</v>
      </c>
      <c r="Q145" s="13">
        <f t="shared" si="56"/>
        <v>78057</v>
      </c>
    </row>
    <row r="146" spans="1:17" ht="12.75" x14ac:dyDescent="0.2">
      <c r="A146" s="18" t="s">
        <v>79</v>
      </c>
      <c r="B146" s="13">
        <v>8223</v>
      </c>
      <c r="C146" s="13">
        <v>936</v>
      </c>
      <c r="D146" s="13">
        <v>63975</v>
      </c>
      <c r="E146" s="13">
        <f>13875-7500</f>
        <v>6375</v>
      </c>
      <c r="F146" s="13">
        <f t="shared" si="53"/>
        <v>66759</v>
      </c>
      <c r="G146" s="13">
        <v>432</v>
      </c>
      <c r="H146" s="13">
        <v>6986</v>
      </c>
      <c r="I146" s="13">
        <v>6469</v>
      </c>
      <c r="J146" s="15">
        <v>0</v>
      </c>
      <c r="K146" s="15">
        <v>0</v>
      </c>
      <c r="L146" s="13">
        <f t="shared" si="54"/>
        <v>80646</v>
      </c>
      <c r="M146" s="13">
        <f t="shared" si="47"/>
        <v>87021</v>
      </c>
      <c r="N146" s="13">
        <v>49058</v>
      </c>
      <c r="O146" s="13">
        <v>44705</v>
      </c>
      <c r="P146" s="13">
        <f t="shared" si="55"/>
        <v>4353</v>
      </c>
      <c r="Q146" s="13">
        <f t="shared" si="56"/>
        <v>84999</v>
      </c>
    </row>
    <row r="147" spans="1:17" ht="12.75" x14ac:dyDescent="0.2">
      <c r="A147" s="18" t="s">
        <v>90</v>
      </c>
      <c r="B147" s="13">
        <v>8223</v>
      </c>
      <c r="C147" s="13">
        <v>936</v>
      </c>
      <c r="D147" s="13">
        <f>85021-C147-B147-G147-H147-I147</f>
        <v>62054</v>
      </c>
      <c r="E147" s="13">
        <f>13600-7500</f>
        <v>6100</v>
      </c>
      <c r="F147" s="13">
        <f t="shared" si="53"/>
        <v>65113</v>
      </c>
      <c r="G147" s="13">
        <v>353</v>
      </c>
      <c r="H147" s="13">
        <v>6986</v>
      </c>
      <c r="I147" s="13">
        <v>6469</v>
      </c>
      <c r="J147" s="15">
        <v>0</v>
      </c>
      <c r="K147" s="15">
        <v>0</v>
      </c>
      <c r="L147" s="13">
        <f t="shared" si="54"/>
        <v>78921</v>
      </c>
      <c r="M147" s="13">
        <f t="shared" si="47"/>
        <v>85021</v>
      </c>
      <c r="N147" s="13">
        <v>56880</v>
      </c>
      <c r="O147" s="13">
        <v>49315</v>
      </c>
      <c r="P147" s="13">
        <f t="shared" si="55"/>
        <v>7565</v>
      </c>
      <c r="Q147" s="13">
        <f t="shared" si="56"/>
        <v>86486</v>
      </c>
    </row>
    <row r="148" spans="1:17" ht="12.75" x14ac:dyDescent="0.2">
      <c r="A148" s="18" t="s">
        <v>91</v>
      </c>
      <c r="B148" s="13">
        <v>8392</v>
      </c>
      <c r="C148" s="13">
        <v>1017</v>
      </c>
      <c r="D148" s="13">
        <f>84351-C148-B148-G148-H148-I148</f>
        <v>61160</v>
      </c>
      <c r="E148" s="13">
        <f>13134-7500</f>
        <v>5634</v>
      </c>
      <c r="F148" s="13">
        <f t="shared" si="53"/>
        <v>64935</v>
      </c>
      <c r="G148" s="13">
        <v>327</v>
      </c>
      <c r="H148" s="13">
        <v>6986</v>
      </c>
      <c r="I148" s="13">
        <v>6469</v>
      </c>
      <c r="J148" s="15">
        <v>0</v>
      </c>
      <c r="K148" s="15">
        <v>0</v>
      </c>
      <c r="L148" s="13">
        <f t="shared" si="54"/>
        <v>78717</v>
      </c>
      <c r="M148" s="13">
        <f t="shared" si="47"/>
        <v>84351</v>
      </c>
      <c r="N148" s="13">
        <v>40604</v>
      </c>
      <c r="O148" s="13">
        <v>45258</v>
      </c>
      <c r="P148" s="13">
        <f t="shared" si="55"/>
        <v>-4654</v>
      </c>
      <c r="Q148" s="13">
        <f t="shared" si="56"/>
        <v>74063</v>
      </c>
    </row>
    <row r="149" spans="1:17" ht="12.75" x14ac:dyDescent="0.2">
      <c r="A149" s="18" t="s">
        <v>80</v>
      </c>
      <c r="B149" s="13">
        <v>8392</v>
      </c>
      <c r="C149" s="13">
        <v>1017</v>
      </c>
      <c r="D149" s="13">
        <f>76364-C149-B149-G149-H149-I149</f>
        <v>53363</v>
      </c>
      <c r="E149" s="13">
        <f>13485-7500</f>
        <v>5985</v>
      </c>
      <c r="F149" s="13">
        <f t="shared" si="53"/>
        <v>56787</v>
      </c>
      <c r="G149" s="13">
        <v>137</v>
      </c>
      <c r="H149" s="13">
        <v>6986</v>
      </c>
      <c r="I149" s="13">
        <v>6469</v>
      </c>
      <c r="J149" s="15">
        <v>0</v>
      </c>
      <c r="K149" s="15">
        <v>0</v>
      </c>
      <c r="L149" s="13">
        <f t="shared" si="54"/>
        <v>70379</v>
      </c>
      <c r="M149" s="13">
        <f t="shared" si="47"/>
        <v>76364</v>
      </c>
      <c r="N149" s="13">
        <v>49908</v>
      </c>
      <c r="O149" s="13">
        <v>66394</v>
      </c>
      <c r="P149" s="13">
        <f t="shared" si="55"/>
        <v>-16486</v>
      </c>
      <c r="Q149" s="13">
        <f t="shared" si="56"/>
        <v>53893</v>
      </c>
    </row>
    <row r="150" spans="1:17" ht="12.75" x14ac:dyDescent="0.2">
      <c r="A150" s="18" t="s">
        <v>92</v>
      </c>
      <c r="B150" s="13">
        <v>8375</v>
      </c>
      <c r="C150" s="13">
        <v>1014</v>
      </c>
      <c r="D150" s="13">
        <f>59300-C150-B150-G150-H150-I150</f>
        <v>36377</v>
      </c>
      <c r="E150" s="13">
        <f>13189-7500</f>
        <v>5689</v>
      </c>
      <c r="F150" s="13">
        <f t="shared" si="53"/>
        <v>40077</v>
      </c>
      <c r="G150" s="13">
        <v>79</v>
      </c>
      <c r="H150" s="13">
        <v>6986</v>
      </c>
      <c r="I150" s="13">
        <v>6469</v>
      </c>
      <c r="J150" s="15">
        <v>0</v>
      </c>
      <c r="K150" s="15">
        <v>0</v>
      </c>
      <c r="L150" s="13">
        <f t="shared" si="54"/>
        <v>53611</v>
      </c>
      <c r="M150" s="13">
        <f t="shared" si="47"/>
        <v>59300</v>
      </c>
      <c r="N150" s="13">
        <v>49521</v>
      </c>
      <c r="O150" s="13">
        <v>64311</v>
      </c>
      <c r="P150" s="13">
        <f t="shared" si="55"/>
        <v>-14790</v>
      </c>
      <c r="Q150" s="13">
        <f t="shared" si="56"/>
        <v>38821</v>
      </c>
    </row>
    <row r="151" spans="1:17" ht="12.75" x14ac:dyDescent="0.2">
      <c r="A151" s="18" t="s">
        <v>93</v>
      </c>
      <c r="B151" s="13">
        <v>8375</v>
      </c>
      <c r="C151" s="13">
        <v>1082</v>
      </c>
      <c r="D151" s="13">
        <f>63925-C151-B151-G151-H151-I151</f>
        <v>40625</v>
      </c>
      <c r="E151" s="13">
        <f>12756-7500</f>
        <v>5256</v>
      </c>
      <c r="F151" s="13">
        <f t="shared" si="53"/>
        <v>44826</v>
      </c>
      <c r="G151" s="13">
        <v>388</v>
      </c>
      <c r="H151" s="13">
        <v>6986</v>
      </c>
      <c r="I151" s="13">
        <v>6469</v>
      </c>
      <c r="J151" s="15">
        <v>0</v>
      </c>
      <c r="K151" s="15">
        <v>0</v>
      </c>
      <c r="L151" s="13">
        <f t="shared" si="54"/>
        <v>58669</v>
      </c>
      <c r="M151" s="13">
        <f t="shared" si="47"/>
        <v>63925</v>
      </c>
      <c r="N151" s="13">
        <v>49949</v>
      </c>
      <c r="O151" s="13">
        <v>67572</v>
      </c>
      <c r="P151" s="13">
        <f t="shared" si="55"/>
        <v>-17623</v>
      </c>
      <c r="Q151" s="13">
        <f t="shared" si="56"/>
        <v>41046</v>
      </c>
    </row>
    <row r="152" spans="1:17" ht="12.75" x14ac:dyDescent="0.2">
      <c r="A152" s="18" t="s">
        <v>81</v>
      </c>
      <c r="B152" s="13">
        <v>8588</v>
      </c>
      <c r="C152" s="13">
        <v>1107</v>
      </c>
      <c r="D152" s="13">
        <f>68663-C152-B152-G152-H152-I152</f>
        <v>45133</v>
      </c>
      <c r="E152" s="13">
        <f>12413-6875</f>
        <v>5538</v>
      </c>
      <c r="F152" s="13">
        <f t="shared" si="53"/>
        <v>49290</v>
      </c>
      <c r="G152" s="13">
        <v>380</v>
      </c>
      <c r="H152" s="13">
        <v>6986</v>
      </c>
      <c r="I152" s="13">
        <v>6469</v>
      </c>
      <c r="J152" s="15">
        <v>0</v>
      </c>
      <c r="K152" s="15">
        <v>0</v>
      </c>
      <c r="L152" s="13">
        <f t="shared" si="54"/>
        <v>63125</v>
      </c>
      <c r="M152" s="13">
        <f t="shared" si="47"/>
        <v>68663</v>
      </c>
      <c r="N152" s="13">
        <v>47538</v>
      </c>
      <c r="O152" s="13">
        <v>71670</v>
      </c>
      <c r="P152" s="13">
        <f t="shared" si="55"/>
        <v>-24132</v>
      </c>
      <c r="Q152" s="13">
        <f t="shared" si="56"/>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57">B154+C154+D154-E154</f>
        <v>42994</v>
      </c>
      <c r="G154" s="13">
        <v>183</v>
      </c>
      <c r="H154" s="13">
        <v>6986</v>
      </c>
      <c r="I154" s="13">
        <v>6469</v>
      </c>
      <c r="J154" s="15">
        <v>0</v>
      </c>
      <c r="K154" s="15">
        <v>0</v>
      </c>
      <c r="L154" s="13">
        <f t="shared" ref="L154:L165" si="58">SUM(F154:K154)</f>
        <v>56632</v>
      </c>
      <c r="M154" s="13">
        <f t="shared" si="47"/>
        <v>61655</v>
      </c>
      <c r="N154" s="13">
        <v>42835</v>
      </c>
      <c r="O154" s="13">
        <v>66068</v>
      </c>
      <c r="P154" s="13">
        <f t="shared" ref="P154:P165" si="59">N154-O154</f>
        <v>-23233</v>
      </c>
      <c r="Q154" s="13">
        <f t="shared" ref="Q154:Q165" si="60">L154+P154</f>
        <v>33399</v>
      </c>
    </row>
    <row r="155" spans="1:17" ht="12.75" x14ac:dyDescent="0.2">
      <c r="A155" s="18" t="s">
        <v>87</v>
      </c>
      <c r="B155" s="13">
        <v>8446</v>
      </c>
      <c r="C155" s="13">
        <v>1162</v>
      </c>
      <c r="D155" s="13">
        <f>55036-C155-B155-G155-H155-I155</f>
        <v>31160</v>
      </c>
      <c r="E155" s="13">
        <f>11493-6875</f>
        <v>4618</v>
      </c>
      <c r="F155" s="13">
        <f t="shared" si="57"/>
        <v>36150</v>
      </c>
      <c r="G155" s="13">
        <v>813</v>
      </c>
      <c r="H155" s="13">
        <v>6986</v>
      </c>
      <c r="I155" s="13">
        <v>6469</v>
      </c>
      <c r="J155" s="15">
        <v>0</v>
      </c>
      <c r="K155" s="15">
        <v>0</v>
      </c>
      <c r="L155" s="13">
        <f t="shared" si="58"/>
        <v>50418</v>
      </c>
      <c r="M155" s="13">
        <f t="shared" si="47"/>
        <v>55036</v>
      </c>
      <c r="N155" s="13">
        <v>46081</v>
      </c>
      <c r="O155" s="13">
        <v>52024</v>
      </c>
      <c r="P155" s="13">
        <f t="shared" si="59"/>
        <v>-5943</v>
      </c>
      <c r="Q155" s="13">
        <f t="shared" si="60"/>
        <v>44475</v>
      </c>
    </row>
    <row r="156" spans="1:17" ht="12.75" x14ac:dyDescent="0.2">
      <c r="A156" s="18" t="s">
        <v>78</v>
      </c>
      <c r="B156" s="13">
        <v>8446</v>
      </c>
      <c r="C156" s="13">
        <v>1162</v>
      </c>
      <c r="D156" s="13">
        <f>54711-C156-B156-G156-H156-I156</f>
        <v>30088</v>
      </c>
      <c r="E156" s="13">
        <f>12425-6875</f>
        <v>5550</v>
      </c>
      <c r="F156" s="13">
        <f t="shared" si="57"/>
        <v>34146</v>
      </c>
      <c r="G156" s="13">
        <v>1560</v>
      </c>
      <c r="H156" s="13">
        <v>6986</v>
      </c>
      <c r="I156" s="13">
        <v>6469</v>
      </c>
      <c r="J156" s="15">
        <v>0</v>
      </c>
      <c r="K156" s="15">
        <v>0</v>
      </c>
      <c r="L156" s="13">
        <f t="shared" si="58"/>
        <v>49161</v>
      </c>
      <c r="M156" s="13">
        <f t="shared" si="47"/>
        <v>54711</v>
      </c>
      <c r="N156" s="13">
        <v>50734</v>
      </c>
      <c r="O156" s="13">
        <v>35928</v>
      </c>
      <c r="P156" s="13">
        <f t="shared" si="59"/>
        <v>14806</v>
      </c>
      <c r="Q156" s="13">
        <f t="shared" si="60"/>
        <v>63967</v>
      </c>
    </row>
    <row r="157" spans="1:17" ht="12.75" x14ac:dyDescent="0.2">
      <c r="A157" s="18" t="s">
        <v>88</v>
      </c>
      <c r="B157" s="13">
        <v>8645</v>
      </c>
      <c r="C157" s="13">
        <v>1189</v>
      </c>
      <c r="D157" s="13">
        <f>52259-C157-B157-G157-H157-I157</f>
        <v>28262</v>
      </c>
      <c r="E157" s="13">
        <f>12115-6875</f>
        <v>5240</v>
      </c>
      <c r="F157" s="13">
        <f t="shared" si="57"/>
        <v>32856</v>
      </c>
      <c r="G157" s="13">
        <v>708</v>
      </c>
      <c r="H157" s="13">
        <v>6986</v>
      </c>
      <c r="I157" s="13">
        <v>6469</v>
      </c>
      <c r="J157" s="15">
        <v>0</v>
      </c>
      <c r="K157" s="15">
        <v>0</v>
      </c>
      <c r="L157" s="13">
        <f t="shared" si="58"/>
        <v>47019</v>
      </c>
      <c r="M157" s="13">
        <f t="shared" si="47"/>
        <v>52259</v>
      </c>
      <c r="N157" s="13">
        <v>51108</v>
      </c>
      <c r="O157" s="13">
        <v>35199</v>
      </c>
      <c r="P157" s="13">
        <f t="shared" si="59"/>
        <v>15909</v>
      </c>
      <c r="Q157" s="13">
        <f t="shared" si="60"/>
        <v>62928</v>
      </c>
    </row>
    <row r="158" spans="1:17" ht="12.75" x14ac:dyDescent="0.2">
      <c r="A158" s="18" t="s">
        <v>89</v>
      </c>
      <c r="B158" s="13">
        <v>8718</v>
      </c>
      <c r="C158" s="13">
        <v>1278</v>
      </c>
      <c r="D158" s="13">
        <f>62403-C158-B158-G158-H158-I158</f>
        <v>38311</v>
      </c>
      <c r="E158" s="13">
        <f>11232-6875</f>
        <v>4357</v>
      </c>
      <c r="F158" s="13">
        <f t="shared" si="57"/>
        <v>43950</v>
      </c>
      <c r="G158" s="13">
        <v>641</v>
      </c>
      <c r="H158" s="13">
        <v>6986</v>
      </c>
      <c r="I158" s="13">
        <v>6469</v>
      </c>
      <c r="J158" s="15">
        <v>0</v>
      </c>
      <c r="K158" s="15">
        <v>0</v>
      </c>
      <c r="L158" s="13">
        <f t="shared" si="58"/>
        <v>58046</v>
      </c>
      <c r="M158" s="13">
        <f t="shared" si="47"/>
        <v>62403</v>
      </c>
      <c r="N158" s="13">
        <v>52478</v>
      </c>
      <c r="O158" s="13">
        <v>38905</v>
      </c>
      <c r="P158" s="13">
        <f t="shared" si="59"/>
        <v>13573</v>
      </c>
      <c r="Q158" s="13">
        <f t="shared" si="60"/>
        <v>71619</v>
      </c>
    </row>
    <row r="159" spans="1:17" ht="12.75" x14ac:dyDescent="0.2">
      <c r="A159" s="18" t="s">
        <v>79</v>
      </c>
      <c r="B159" s="13">
        <v>8718</v>
      </c>
      <c r="C159" s="13">
        <v>1278</v>
      </c>
      <c r="D159" s="13">
        <f>60622-C159-B159-G159-H159-I159</f>
        <v>36570</v>
      </c>
      <c r="E159" s="13">
        <f>10126-6250</f>
        <v>3876</v>
      </c>
      <c r="F159" s="13">
        <f t="shared" si="57"/>
        <v>42690</v>
      </c>
      <c r="G159" s="13">
        <v>601</v>
      </c>
      <c r="H159" s="13">
        <v>6986</v>
      </c>
      <c r="I159" s="13">
        <v>6469</v>
      </c>
      <c r="J159" s="15">
        <v>0</v>
      </c>
      <c r="K159" s="15">
        <v>0</v>
      </c>
      <c r="L159" s="13">
        <f t="shared" si="58"/>
        <v>56746</v>
      </c>
      <c r="M159" s="13">
        <f t="shared" si="47"/>
        <v>60622</v>
      </c>
      <c r="N159" s="13">
        <v>48835</v>
      </c>
      <c r="O159" s="13">
        <v>32658</v>
      </c>
      <c r="P159" s="13">
        <f t="shared" si="59"/>
        <v>16177</v>
      </c>
      <c r="Q159" s="13">
        <f t="shared" si="60"/>
        <v>72923</v>
      </c>
    </row>
    <row r="160" spans="1:17" ht="12.75" x14ac:dyDescent="0.2">
      <c r="A160" s="18" t="s">
        <v>90</v>
      </c>
      <c r="B160" s="13">
        <v>9117</v>
      </c>
      <c r="C160" s="13">
        <v>1333</v>
      </c>
      <c r="D160" s="13">
        <f>74205-C160-B160-G160-H160-I160</f>
        <v>49988</v>
      </c>
      <c r="E160" s="13">
        <f>11316-6250</f>
        <v>5066</v>
      </c>
      <c r="F160" s="13">
        <f t="shared" si="57"/>
        <v>55372</v>
      </c>
      <c r="G160" s="13">
        <v>312</v>
      </c>
      <c r="H160" s="13">
        <v>6986</v>
      </c>
      <c r="I160" s="13">
        <v>6469</v>
      </c>
      <c r="J160" s="15">
        <v>0</v>
      </c>
      <c r="K160" s="15">
        <v>0</v>
      </c>
      <c r="L160" s="13">
        <f t="shared" si="58"/>
        <v>69139</v>
      </c>
      <c r="M160" s="13">
        <f t="shared" si="47"/>
        <v>74205</v>
      </c>
      <c r="N160" s="13">
        <v>47807</v>
      </c>
      <c r="O160" s="13">
        <v>29163</v>
      </c>
      <c r="P160" s="13">
        <f t="shared" si="59"/>
        <v>18644</v>
      </c>
      <c r="Q160" s="13">
        <f t="shared" si="60"/>
        <v>87783</v>
      </c>
    </row>
    <row r="161" spans="1:17" ht="12.75" x14ac:dyDescent="0.2">
      <c r="A161" s="18" t="s">
        <v>91</v>
      </c>
      <c r="B161" s="13">
        <v>9022</v>
      </c>
      <c r="C161" s="13">
        <v>1395</v>
      </c>
      <c r="D161" s="13">
        <f>69725-C161-B161-G161-H161-I161</f>
        <v>45457</v>
      </c>
      <c r="E161" s="13">
        <f>11137-6250</f>
        <v>4887</v>
      </c>
      <c r="F161" s="13">
        <f t="shared" si="57"/>
        <v>50987</v>
      </c>
      <c r="G161" s="13">
        <v>396</v>
      </c>
      <c r="H161" s="13">
        <v>6986</v>
      </c>
      <c r="I161" s="13">
        <v>6469</v>
      </c>
      <c r="J161" s="15">
        <v>0</v>
      </c>
      <c r="K161" s="15">
        <v>0</v>
      </c>
      <c r="L161" s="13">
        <f t="shared" si="58"/>
        <v>64838</v>
      </c>
      <c r="M161" s="13">
        <f t="shared" si="47"/>
        <v>69725</v>
      </c>
      <c r="N161" s="13">
        <v>46515</v>
      </c>
      <c r="O161" s="13">
        <v>29090</v>
      </c>
      <c r="P161" s="13">
        <f t="shared" si="59"/>
        <v>17425</v>
      </c>
      <c r="Q161" s="13">
        <f t="shared" si="60"/>
        <v>82263</v>
      </c>
    </row>
    <row r="162" spans="1:17" ht="12.75" x14ac:dyDescent="0.2">
      <c r="A162" s="18" t="s">
        <v>80</v>
      </c>
      <c r="B162" s="13">
        <v>9022</v>
      </c>
      <c r="C162" s="13">
        <v>1395</v>
      </c>
      <c r="D162" s="13">
        <f>71104-C162-B162-G162-H162-I162</f>
        <v>46842</v>
      </c>
      <c r="E162" s="13">
        <f>11710-6250</f>
        <v>5460</v>
      </c>
      <c r="F162" s="13">
        <f t="shared" si="57"/>
        <v>51799</v>
      </c>
      <c r="G162" s="13">
        <v>390</v>
      </c>
      <c r="H162" s="13">
        <v>6986</v>
      </c>
      <c r="I162" s="13">
        <v>6469</v>
      </c>
      <c r="J162" s="15">
        <v>0</v>
      </c>
      <c r="K162" s="15">
        <v>0</v>
      </c>
      <c r="L162" s="13">
        <f t="shared" si="58"/>
        <v>65644</v>
      </c>
      <c r="M162" s="13">
        <f t="shared" si="47"/>
        <v>71104</v>
      </c>
      <c r="N162" s="13">
        <v>50649</v>
      </c>
      <c r="O162" s="13">
        <v>20974</v>
      </c>
      <c r="P162" s="13">
        <f t="shared" si="59"/>
        <v>29675</v>
      </c>
      <c r="Q162" s="13">
        <f t="shared" si="60"/>
        <v>95319</v>
      </c>
    </row>
    <row r="163" spans="1:17" ht="12.75" x14ac:dyDescent="0.2">
      <c r="A163" s="18" t="s">
        <v>92</v>
      </c>
      <c r="B163" s="13">
        <v>8634</v>
      </c>
      <c r="C163" s="13">
        <v>1336</v>
      </c>
      <c r="D163" s="13">
        <f>67727-C163-B163-G163-H163-I163</f>
        <v>43938</v>
      </c>
      <c r="E163" s="13">
        <f>12355-6250</f>
        <v>6105</v>
      </c>
      <c r="F163" s="13">
        <f t="shared" si="57"/>
        <v>47803</v>
      </c>
      <c r="G163" s="13">
        <v>364</v>
      </c>
      <c r="H163" s="13">
        <v>6986</v>
      </c>
      <c r="I163" s="13">
        <v>6469</v>
      </c>
      <c r="J163" s="15">
        <v>0</v>
      </c>
      <c r="K163" s="15">
        <v>0</v>
      </c>
      <c r="L163" s="13">
        <f t="shared" si="58"/>
        <v>61622</v>
      </c>
      <c r="M163" s="13">
        <f t="shared" si="47"/>
        <v>67727</v>
      </c>
      <c r="N163" s="13">
        <v>52786</v>
      </c>
      <c r="O163" s="13">
        <v>22509</v>
      </c>
      <c r="P163" s="13">
        <f t="shared" si="59"/>
        <v>30277</v>
      </c>
      <c r="Q163" s="13">
        <f t="shared" si="60"/>
        <v>91899</v>
      </c>
    </row>
    <row r="164" spans="1:17" ht="12.75" x14ac:dyDescent="0.2">
      <c r="A164" s="18" t="s">
        <v>93</v>
      </c>
      <c r="B164" s="13">
        <v>8714</v>
      </c>
      <c r="C164" s="13">
        <v>1408</v>
      </c>
      <c r="D164" s="13">
        <f>77849-C164-B164-G164-H164-I164</f>
        <v>53922</v>
      </c>
      <c r="E164" s="13">
        <f>11966-6250</f>
        <v>5716</v>
      </c>
      <c r="F164" s="13">
        <f t="shared" si="57"/>
        <v>58328</v>
      </c>
      <c r="G164" s="13">
        <v>350</v>
      </c>
      <c r="H164" s="13">
        <v>6986</v>
      </c>
      <c r="I164" s="13">
        <v>6469</v>
      </c>
      <c r="J164" s="15">
        <v>0</v>
      </c>
      <c r="K164" s="15">
        <v>0</v>
      </c>
      <c r="L164" s="13">
        <f t="shared" si="58"/>
        <v>72133</v>
      </c>
      <c r="M164" s="13">
        <f t="shared" si="47"/>
        <v>77849</v>
      </c>
      <c r="N164" s="13">
        <v>52866</v>
      </c>
      <c r="O164" s="13">
        <v>24092</v>
      </c>
      <c r="P164" s="13">
        <f t="shared" si="59"/>
        <v>28774</v>
      </c>
      <c r="Q164" s="13">
        <f t="shared" si="60"/>
        <v>100907</v>
      </c>
    </row>
    <row r="165" spans="1:17" ht="12.75" x14ac:dyDescent="0.2">
      <c r="A165" s="18" t="s">
        <v>81</v>
      </c>
      <c r="B165" s="13">
        <v>8646</v>
      </c>
      <c r="C165" s="13">
        <v>1397</v>
      </c>
      <c r="D165" s="13">
        <f>74867-C165-B165-G165-H165-I165</f>
        <v>51078</v>
      </c>
      <c r="E165" s="13">
        <f>10622-5625</f>
        <v>4997</v>
      </c>
      <c r="F165" s="13">
        <f t="shared" si="57"/>
        <v>56124</v>
      </c>
      <c r="G165" s="13">
        <v>291</v>
      </c>
      <c r="H165" s="13">
        <v>6986</v>
      </c>
      <c r="I165" s="13">
        <v>6469</v>
      </c>
      <c r="J165" s="15">
        <v>0</v>
      </c>
      <c r="K165" s="15">
        <v>0</v>
      </c>
      <c r="L165" s="13">
        <f t="shared" si="58"/>
        <v>69870</v>
      </c>
      <c r="M165" s="13">
        <f t="shared" si="47"/>
        <v>74867</v>
      </c>
      <c r="N165" s="13">
        <v>50892</v>
      </c>
      <c r="O165" s="13">
        <v>28895</v>
      </c>
      <c r="P165" s="13">
        <f t="shared" si="59"/>
        <v>21997</v>
      </c>
      <c r="Q165" s="13">
        <f t="shared" si="60"/>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1">B167+C167+D167-E167</f>
        <v>55976</v>
      </c>
      <c r="G167" s="13">
        <v>213</v>
      </c>
      <c r="H167" s="13">
        <v>6986</v>
      </c>
      <c r="I167" s="13">
        <v>6469</v>
      </c>
      <c r="J167" s="15">
        <v>0</v>
      </c>
      <c r="K167" s="15">
        <v>0</v>
      </c>
      <c r="L167" s="13">
        <f t="shared" ref="L167:L178" si="62">SUM(F167:K167)</f>
        <v>69644</v>
      </c>
      <c r="M167" s="13">
        <f>B167+C167+D167+G167+H167+I167+J167+K167</f>
        <v>75318</v>
      </c>
      <c r="N167" s="13">
        <v>51512</v>
      </c>
      <c r="O167" s="13">
        <v>29919</v>
      </c>
      <c r="P167" s="13">
        <f t="shared" ref="P167:P178" si="63">N167-O167</f>
        <v>21593</v>
      </c>
      <c r="Q167" s="13">
        <f>L167+P167</f>
        <v>91237</v>
      </c>
    </row>
    <row r="168" spans="1:17" ht="12.75" x14ac:dyDescent="0.2">
      <c r="A168" s="18" t="s">
        <v>87</v>
      </c>
      <c r="B168" s="13">
        <v>8605</v>
      </c>
      <c r="C168" s="13">
        <v>1527</v>
      </c>
      <c r="D168" s="13">
        <v>58195</v>
      </c>
      <c r="E168" s="13">
        <v>6163</v>
      </c>
      <c r="F168" s="13">
        <f t="shared" si="61"/>
        <v>62164</v>
      </c>
      <c r="G168" s="13">
        <v>206</v>
      </c>
      <c r="H168" s="13">
        <v>6986</v>
      </c>
      <c r="I168" s="13">
        <v>6469</v>
      </c>
      <c r="J168" s="15">
        <v>0</v>
      </c>
      <c r="K168" s="15">
        <v>0</v>
      </c>
      <c r="L168" s="13">
        <f t="shared" si="62"/>
        <v>75825</v>
      </c>
      <c r="M168" s="13">
        <f t="shared" ref="M168:M217" si="64">B168+C168+D168+G168+H168+I168+J168+K168</f>
        <v>81988</v>
      </c>
      <c r="N168" s="13">
        <v>44005</v>
      </c>
      <c r="O168" s="13">
        <v>30321</v>
      </c>
      <c r="P168" s="13">
        <f t="shared" si="63"/>
        <v>13684</v>
      </c>
      <c r="Q168" s="13">
        <f t="shared" ref="Q168:Q178" si="65">L168+P168</f>
        <v>89509</v>
      </c>
    </row>
    <row r="169" spans="1:17" ht="12.75" x14ac:dyDescent="0.2">
      <c r="A169" s="18" t="s">
        <v>78</v>
      </c>
      <c r="B169" s="13">
        <v>8497</v>
      </c>
      <c r="C169" s="13">
        <v>1588</v>
      </c>
      <c r="D169" s="13">
        <v>53159</v>
      </c>
      <c r="E169" s="13">
        <v>4223</v>
      </c>
      <c r="F169" s="13">
        <f t="shared" si="61"/>
        <v>59021</v>
      </c>
      <c r="G169" s="13">
        <v>178</v>
      </c>
      <c r="H169" s="13">
        <v>6986</v>
      </c>
      <c r="I169" s="13">
        <v>6469</v>
      </c>
      <c r="J169" s="15">
        <v>0</v>
      </c>
      <c r="K169" s="15">
        <v>0</v>
      </c>
      <c r="L169" s="13">
        <f t="shared" si="62"/>
        <v>72654</v>
      </c>
      <c r="M169" s="13">
        <f t="shared" si="64"/>
        <v>76877</v>
      </c>
      <c r="N169" s="13">
        <v>73169</v>
      </c>
      <c r="O169" s="13">
        <v>31946</v>
      </c>
      <c r="P169" s="13">
        <f t="shared" si="63"/>
        <v>41223</v>
      </c>
      <c r="Q169" s="13">
        <f t="shared" si="65"/>
        <v>113877</v>
      </c>
    </row>
    <row r="170" spans="1:17" ht="12.75" x14ac:dyDescent="0.2">
      <c r="A170" s="18" t="s">
        <v>88</v>
      </c>
      <c r="B170" s="13">
        <v>8497</v>
      </c>
      <c r="C170" s="13">
        <v>1588</v>
      </c>
      <c r="D170" s="13">
        <v>55744</v>
      </c>
      <c r="E170" s="13">
        <v>4469</v>
      </c>
      <c r="F170" s="13">
        <f t="shared" si="61"/>
        <v>61360</v>
      </c>
      <c r="G170" s="13">
        <v>276</v>
      </c>
      <c r="H170" s="13">
        <v>6986</v>
      </c>
      <c r="I170" s="13">
        <v>6469</v>
      </c>
      <c r="J170" s="15">
        <v>0</v>
      </c>
      <c r="K170" s="15">
        <v>0</v>
      </c>
      <c r="L170" s="13">
        <f t="shared" si="62"/>
        <v>75091</v>
      </c>
      <c r="M170" s="13">
        <f t="shared" si="64"/>
        <v>79560</v>
      </c>
      <c r="N170" s="13">
        <v>74687</v>
      </c>
      <c r="O170" s="13">
        <v>39230</v>
      </c>
      <c r="P170" s="13">
        <f t="shared" si="63"/>
        <v>35457</v>
      </c>
      <c r="Q170" s="13">
        <f t="shared" si="65"/>
        <v>110548</v>
      </c>
    </row>
    <row r="171" spans="1:17" ht="12.75" x14ac:dyDescent="0.2">
      <c r="A171" s="18" t="s">
        <v>89</v>
      </c>
      <c r="B171" s="13">
        <v>8453</v>
      </c>
      <c r="C171" s="13">
        <v>1642</v>
      </c>
      <c r="D171" s="13">
        <v>59344</v>
      </c>
      <c r="E171" s="13">
        <v>3154</v>
      </c>
      <c r="F171" s="13">
        <f t="shared" si="61"/>
        <v>66285</v>
      </c>
      <c r="G171" s="13">
        <v>274</v>
      </c>
      <c r="H171" s="13">
        <v>6986</v>
      </c>
      <c r="I171" s="13">
        <v>6469</v>
      </c>
      <c r="J171" s="15">
        <v>0</v>
      </c>
      <c r="K171" s="15">
        <v>0</v>
      </c>
      <c r="L171" s="13">
        <f t="shared" si="62"/>
        <v>80014</v>
      </c>
      <c r="M171" s="13">
        <f t="shared" si="64"/>
        <v>83168</v>
      </c>
      <c r="N171" s="13">
        <v>70483</v>
      </c>
      <c r="O171" s="13">
        <v>40751</v>
      </c>
      <c r="P171" s="13">
        <f t="shared" si="63"/>
        <v>29732</v>
      </c>
      <c r="Q171" s="13">
        <f t="shared" si="65"/>
        <v>109746</v>
      </c>
    </row>
    <row r="172" spans="1:17" ht="12.75" x14ac:dyDescent="0.2">
      <c r="A172" s="18" t="s">
        <v>79</v>
      </c>
      <c r="B172" s="13">
        <v>8389</v>
      </c>
      <c r="C172" s="13">
        <v>1630</v>
      </c>
      <c r="D172" s="13">
        <v>54954</v>
      </c>
      <c r="E172" s="13">
        <v>4308</v>
      </c>
      <c r="F172" s="13">
        <f t="shared" si="61"/>
        <v>60665</v>
      </c>
      <c r="G172" s="13">
        <v>254</v>
      </c>
      <c r="H172" s="13">
        <v>6986</v>
      </c>
      <c r="I172" s="13">
        <v>6469</v>
      </c>
      <c r="J172" s="15">
        <v>0</v>
      </c>
      <c r="K172" s="15">
        <v>0</v>
      </c>
      <c r="L172" s="13">
        <f t="shared" si="62"/>
        <v>74374</v>
      </c>
      <c r="M172" s="13">
        <f t="shared" si="64"/>
        <v>78682</v>
      </c>
      <c r="N172" s="13">
        <v>66747</v>
      </c>
      <c r="O172" s="13">
        <v>40006</v>
      </c>
      <c r="P172" s="13">
        <f t="shared" si="63"/>
        <v>26741</v>
      </c>
      <c r="Q172" s="13">
        <f t="shared" si="65"/>
        <v>101115</v>
      </c>
    </row>
    <row r="173" spans="1:17" ht="12.75" x14ac:dyDescent="0.2">
      <c r="A173" s="18" t="s">
        <v>90</v>
      </c>
      <c r="B173" s="13">
        <v>8343</v>
      </c>
      <c r="C173" s="13">
        <v>1622</v>
      </c>
      <c r="D173" s="13">
        <v>123205</v>
      </c>
      <c r="E173" s="13">
        <v>3992</v>
      </c>
      <c r="F173" s="13">
        <f t="shared" si="61"/>
        <v>129178</v>
      </c>
      <c r="G173" s="13">
        <v>211</v>
      </c>
      <c r="H173" s="13">
        <v>6986</v>
      </c>
      <c r="I173" s="13">
        <v>6469</v>
      </c>
      <c r="J173" s="15">
        <v>0</v>
      </c>
      <c r="K173" s="15">
        <v>0</v>
      </c>
      <c r="L173" s="13">
        <f t="shared" si="62"/>
        <v>142844</v>
      </c>
      <c r="M173" s="13">
        <f t="shared" si="64"/>
        <v>146836</v>
      </c>
      <c r="N173" s="13">
        <v>53903</v>
      </c>
      <c r="O173" s="13">
        <v>40076</v>
      </c>
      <c r="P173" s="13">
        <f t="shared" si="63"/>
        <v>13827</v>
      </c>
      <c r="Q173" s="13">
        <f t="shared" si="65"/>
        <v>156671</v>
      </c>
    </row>
    <row r="174" spans="1:17" ht="12.75" x14ac:dyDescent="0.2">
      <c r="A174" s="18" t="s">
        <v>91</v>
      </c>
      <c r="B174" s="13">
        <v>8478</v>
      </c>
      <c r="C174" s="13">
        <v>1648</v>
      </c>
      <c r="D174" s="13">
        <v>135122</v>
      </c>
      <c r="E174" s="13">
        <v>3037</v>
      </c>
      <c r="F174" s="13">
        <f t="shared" si="61"/>
        <v>142211</v>
      </c>
      <c r="G174" s="13">
        <v>208</v>
      </c>
      <c r="H174" s="13">
        <v>6986</v>
      </c>
      <c r="I174" s="13">
        <v>6469</v>
      </c>
      <c r="J174" s="15">
        <v>0</v>
      </c>
      <c r="K174" s="15">
        <v>0</v>
      </c>
      <c r="L174" s="13">
        <f t="shared" si="62"/>
        <v>155874</v>
      </c>
      <c r="M174" s="13">
        <f t="shared" si="64"/>
        <v>158911</v>
      </c>
      <c r="N174" s="13">
        <v>59043</v>
      </c>
      <c r="O174" s="13">
        <v>37662</v>
      </c>
      <c r="P174" s="13">
        <f t="shared" si="63"/>
        <v>21381</v>
      </c>
      <c r="Q174" s="13">
        <f t="shared" si="65"/>
        <v>177255</v>
      </c>
    </row>
    <row r="175" spans="1:17" ht="12.75" x14ac:dyDescent="0.2">
      <c r="A175" s="18" t="s">
        <v>80</v>
      </c>
      <c r="B175" s="13">
        <v>8478</v>
      </c>
      <c r="C175" s="13">
        <v>1715</v>
      </c>
      <c r="D175" s="13">
        <v>109604</v>
      </c>
      <c r="E175" s="13">
        <v>3551</v>
      </c>
      <c r="F175" s="13">
        <f t="shared" si="61"/>
        <v>116246</v>
      </c>
      <c r="G175" s="13">
        <v>206</v>
      </c>
      <c r="H175" s="13">
        <v>6986</v>
      </c>
      <c r="I175" s="13">
        <v>6469</v>
      </c>
      <c r="J175" s="15">
        <v>0</v>
      </c>
      <c r="K175" s="15">
        <v>0</v>
      </c>
      <c r="L175" s="13">
        <f t="shared" si="62"/>
        <v>129907</v>
      </c>
      <c r="M175" s="13">
        <f t="shared" si="64"/>
        <v>133458</v>
      </c>
      <c r="N175" s="13">
        <v>63756</v>
      </c>
      <c r="O175" s="13">
        <v>34623</v>
      </c>
      <c r="P175" s="13">
        <f t="shared" si="63"/>
        <v>29133</v>
      </c>
      <c r="Q175" s="13">
        <f t="shared" si="65"/>
        <v>159040</v>
      </c>
    </row>
    <row r="176" spans="1:17" ht="12.75" x14ac:dyDescent="0.2">
      <c r="A176" s="18" t="s">
        <v>92</v>
      </c>
      <c r="B176" s="13">
        <v>8433</v>
      </c>
      <c r="C176" s="13">
        <v>1706</v>
      </c>
      <c r="D176" s="13">
        <v>89976</v>
      </c>
      <c r="E176" s="13">
        <v>4387</v>
      </c>
      <c r="F176" s="13">
        <f t="shared" si="61"/>
        <v>95728</v>
      </c>
      <c r="G176" s="13">
        <v>224</v>
      </c>
      <c r="H176" s="13">
        <v>6986</v>
      </c>
      <c r="I176" s="13">
        <v>6469</v>
      </c>
      <c r="J176" s="15">
        <v>0</v>
      </c>
      <c r="K176" s="15">
        <v>0</v>
      </c>
      <c r="L176" s="13">
        <f t="shared" si="62"/>
        <v>109407</v>
      </c>
      <c r="M176" s="13">
        <f t="shared" si="64"/>
        <v>113794</v>
      </c>
      <c r="N176" s="13">
        <v>57834</v>
      </c>
      <c r="O176" s="13">
        <v>35258</v>
      </c>
      <c r="P176" s="13">
        <f t="shared" si="63"/>
        <v>22576</v>
      </c>
      <c r="Q176" s="13">
        <f t="shared" si="65"/>
        <v>131983</v>
      </c>
    </row>
    <row r="177" spans="1:17" ht="12.75" x14ac:dyDescent="0.2">
      <c r="A177" s="18" t="s">
        <v>93</v>
      </c>
      <c r="B177" s="13">
        <v>8367</v>
      </c>
      <c r="C177" s="13">
        <v>1761</v>
      </c>
      <c r="D177" s="13">
        <v>95194</v>
      </c>
      <c r="E177" s="13">
        <v>4414</v>
      </c>
      <c r="F177" s="13">
        <f t="shared" si="61"/>
        <v>100908</v>
      </c>
      <c r="G177" s="13">
        <v>220</v>
      </c>
      <c r="H177" s="13">
        <v>6986</v>
      </c>
      <c r="I177" s="13">
        <v>6469</v>
      </c>
      <c r="J177" s="15">
        <v>0</v>
      </c>
      <c r="K177" s="15">
        <v>0</v>
      </c>
      <c r="L177" s="13">
        <f t="shared" si="62"/>
        <v>114583</v>
      </c>
      <c r="M177" s="13">
        <f t="shared" si="64"/>
        <v>118997</v>
      </c>
      <c r="N177" s="13">
        <v>62926</v>
      </c>
      <c r="O177" s="13">
        <v>34340</v>
      </c>
      <c r="P177" s="13">
        <f t="shared" si="63"/>
        <v>28586</v>
      </c>
      <c r="Q177" s="13">
        <f t="shared" si="65"/>
        <v>143169</v>
      </c>
    </row>
    <row r="178" spans="1:17" ht="12.75" x14ac:dyDescent="0.2">
      <c r="A178" s="18" t="s">
        <v>81</v>
      </c>
      <c r="B178" s="13">
        <v>8319</v>
      </c>
      <c r="C178" s="13">
        <v>1761</v>
      </c>
      <c r="D178" s="13">
        <v>91832</v>
      </c>
      <c r="E178" s="13">
        <v>3537</v>
      </c>
      <c r="F178" s="13">
        <f t="shared" si="61"/>
        <v>98375</v>
      </c>
      <c r="G178" s="13">
        <v>1217</v>
      </c>
      <c r="H178" s="13">
        <v>6986</v>
      </c>
      <c r="I178" s="13">
        <v>6469</v>
      </c>
      <c r="J178" s="15">
        <v>0</v>
      </c>
      <c r="K178" s="15">
        <v>0</v>
      </c>
      <c r="L178" s="13">
        <f t="shared" si="62"/>
        <v>113047</v>
      </c>
      <c r="M178" s="13">
        <f t="shared" si="64"/>
        <v>116584</v>
      </c>
      <c r="N178" s="13">
        <v>75256</v>
      </c>
      <c r="O178" s="13">
        <v>45567</v>
      </c>
      <c r="P178" s="13">
        <f t="shared" si="63"/>
        <v>29689</v>
      </c>
      <c r="Q178" s="13">
        <f t="shared" si="65"/>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66">SUM(F180:K180)</f>
        <v>105851</v>
      </c>
      <c r="M180" s="13">
        <f t="shared" si="64"/>
        <v>110362</v>
      </c>
      <c r="N180" s="13">
        <v>73970</v>
      </c>
      <c r="O180" s="13">
        <v>45457</v>
      </c>
      <c r="P180" s="13">
        <f t="shared" ref="P180:P191" si="67">N180-O180</f>
        <v>28513</v>
      </c>
      <c r="Q180" s="13">
        <f t="shared" ref="Q180:Q191" si="68">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66"/>
        <v>115280</v>
      </c>
      <c r="M181" s="13">
        <f t="shared" si="64"/>
        <v>118259</v>
      </c>
      <c r="N181" s="13">
        <v>79733</v>
      </c>
      <c r="O181" s="13">
        <v>44502</v>
      </c>
      <c r="P181" s="13">
        <f t="shared" si="67"/>
        <v>35231</v>
      </c>
      <c r="Q181" s="13">
        <f t="shared" si="68"/>
        <v>150511</v>
      </c>
    </row>
    <row r="182" spans="1:17" ht="12.75" x14ac:dyDescent="0.2">
      <c r="A182" s="18" t="s">
        <v>78</v>
      </c>
      <c r="B182" s="13">
        <v>8068</v>
      </c>
      <c r="C182" s="13">
        <v>1751</v>
      </c>
      <c r="D182" s="13">
        <v>94921</v>
      </c>
      <c r="E182" s="13">
        <v>2676</v>
      </c>
      <c r="F182" s="13">
        <f t="shared" ref="F182:F191" si="69">B182+C182+D182-E182</f>
        <v>102064</v>
      </c>
      <c r="G182" s="13">
        <v>165</v>
      </c>
      <c r="H182" s="13">
        <v>6986</v>
      </c>
      <c r="I182" s="13">
        <v>6469</v>
      </c>
      <c r="J182" s="15">
        <v>0</v>
      </c>
      <c r="K182" s="15">
        <v>0</v>
      </c>
      <c r="L182" s="13">
        <f t="shared" si="66"/>
        <v>115684</v>
      </c>
      <c r="M182" s="13">
        <f t="shared" si="64"/>
        <v>118360</v>
      </c>
      <c r="N182" s="13">
        <v>91860</v>
      </c>
      <c r="O182" s="13">
        <v>49736</v>
      </c>
      <c r="P182" s="13">
        <f t="shared" si="67"/>
        <v>42124</v>
      </c>
      <c r="Q182" s="13">
        <f t="shared" si="68"/>
        <v>157808</v>
      </c>
    </row>
    <row r="183" spans="1:17" ht="12.75" x14ac:dyDescent="0.2">
      <c r="A183" s="18" t="s">
        <v>88</v>
      </c>
      <c r="B183" s="13">
        <v>7900</v>
      </c>
      <c r="C183" s="13">
        <v>1729</v>
      </c>
      <c r="D183" s="13">
        <v>92089</v>
      </c>
      <c r="E183" s="13">
        <v>3660</v>
      </c>
      <c r="F183" s="13">
        <f t="shared" si="69"/>
        <v>98058</v>
      </c>
      <c r="G183" s="13">
        <v>458</v>
      </c>
      <c r="H183" s="13">
        <v>6986</v>
      </c>
      <c r="I183" s="13">
        <v>6469</v>
      </c>
      <c r="J183" s="15">
        <v>0</v>
      </c>
      <c r="K183" s="15">
        <v>0</v>
      </c>
      <c r="L183" s="13">
        <f t="shared" si="66"/>
        <v>111971</v>
      </c>
      <c r="M183" s="13">
        <f t="shared" si="64"/>
        <v>115631</v>
      </c>
      <c r="N183" s="13">
        <v>83622</v>
      </c>
      <c r="O183" s="13">
        <v>49583</v>
      </c>
      <c r="P183" s="13">
        <f t="shared" si="67"/>
        <v>34039</v>
      </c>
      <c r="Q183" s="13">
        <f t="shared" si="68"/>
        <v>146010</v>
      </c>
    </row>
    <row r="184" spans="1:17" ht="12.75" x14ac:dyDescent="0.2">
      <c r="A184" s="18" t="s">
        <v>89</v>
      </c>
      <c r="B184" s="13">
        <v>8107</v>
      </c>
      <c r="C184" s="13">
        <v>1779</v>
      </c>
      <c r="D184" s="13">
        <v>99056</v>
      </c>
      <c r="E184" s="13">
        <v>4489</v>
      </c>
      <c r="F184" s="13">
        <f t="shared" si="69"/>
        <v>104453</v>
      </c>
      <c r="G184" s="13">
        <v>458</v>
      </c>
      <c r="H184" s="13">
        <v>6986</v>
      </c>
      <c r="I184" s="13">
        <v>6469</v>
      </c>
      <c r="J184" s="15">
        <v>0</v>
      </c>
      <c r="K184" s="15">
        <v>0</v>
      </c>
      <c r="L184" s="13">
        <f t="shared" si="66"/>
        <v>118366</v>
      </c>
      <c r="M184" s="13">
        <f t="shared" si="64"/>
        <v>122855</v>
      </c>
      <c r="N184" s="13">
        <v>84145</v>
      </c>
      <c r="O184" s="13">
        <v>49724</v>
      </c>
      <c r="P184" s="13">
        <f t="shared" si="67"/>
        <v>34421</v>
      </c>
      <c r="Q184" s="13">
        <f t="shared" si="68"/>
        <v>152787</v>
      </c>
    </row>
    <row r="185" spans="1:17" ht="12.75" x14ac:dyDescent="0.2">
      <c r="A185" s="18" t="s">
        <v>79</v>
      </c>
      <c r="B185" s="13">
        <v>8086</v>
      </c>
      <c r="C185" s="13">
        <v>1775</v>
      </c>
      <c r="D185" s="13">
        <v>95195</v>
      </c>
      <c r="E185" s="13">
        <v>4224</v>
      </c>
      <c r="F185" s="13">
        <f t="shared" si="69"/>
        <v>100832</v>
      </c>
      <c r="G185" s="13">
        <v>378</v>
      </c>
      <c r="H185" s="13">
        <v>6986</v>
      </c>
      <c r="I185" s="13">
        <v>6469</v>
      </c>
      <c r="J185" s="15">
        <v>0</v>
      </c>
      <c r="K185" s="15">
        <v>0</v>
      </c>
      <c r="L185" s="13">
        <f t="shared" si="66"/>
        <v>114665</v>
      </c>
      <c r="M185" s="13">
        <f t="shared" si="64"/>
        <v>118889</v>
      </c>
      <c r="N185" s="13">
        <v>79923</v>
      </c>
      <c r="O185" s="13">
        <v>50371</v>
      </c>
      <c r="P185" s="13">
        <f t="shared" si="67"/>
        <v>29552</v>
      </c>
      <c r="Q185" s="13">
        <f t="shared" si="68"/>
        <v>144217</v>
      </c>
    </row>
    <row r="186" spans="1:17" ht="12.75" x14ac:dyDescent="0.2">
      <c r="A186" s="18" t="s">
        <v>90</v>
      </c>
      <c r="B186" s="13">
        <v>8032</v>
      </c>
      <c r="C186" s="13">
        <v>1825</v>
      </c>
      <c r="D186" s="13">
        <v>86528</v>
      </c>
      <c r="E186" s="13">
        <v>6956</v>
      </c>
      <c r="F186" s="13">
        <f t="shared" si="69"/>
        <v>89429</v>
      </c>
      <c r="G186" s="13">
        <v>383</v>
      </c>
      <c r="H186" s="13">
        <v>6986</v>
      </c>
      <c r="I186" s="13">
        <v>6469</v>
      </c>
      <c r="J186" s="15">
        <v>0</v>
      </c>
      <c r="K186" s="15">
        <v>0</v>
      </c>
      <c r="L186" s="13">
        <f t="shared" si="66"/>
        <v>103267</v>
      </c>
      <c r="M186" s="13">
        <f t="shared" si="64"/>
        <v>110223</v>
      </c>
      <c r="N186" s="13">
        <v>81146</v>
      </c>
      <c r="O186" s="13">
        <v>55816</v>
      </c>
      <c r="P186" s="13">
        <f t="shared" si="67"/>
        <v>25330</v>
      </c>
      <c r="Q186" s="13">
        <f t="shared" si="68"/>
        <v>128597</v>
      </c>
    </row>
    <row r="187" spans="1:17" ht="12.75" x14ac:dyDescent="0.2">
      <c r="A187" s="18" t="s">
        <v>91</v>
      </c>
      <c r="B187" s="13">
        <v>7889</v>
      </c>
      <c r="C187" s="13">
        <v>1865</v>
      </c>
      <c r="D187" s="13">
        <v>92735</v>
      </c>
      <c r="E187" s="13">
        <v>6301</v>
      </c>
      <c r="F187" s="13">
        <f t="shared" si="69"/>
        <v>96188</v>
      </c>
      <c r="G187" s="13">
        <v>361</v>
      </c>
      <c r="H187" s="13">
        <v>6986</v>
      </c>
      <c r="I187" s="13">
        <v>6469</v>
      </c>
      <c r="J187" s="15">
        <v>0</v>
      </c>
      <c r="K187" s="15">
        <v>0</v>
      </c>
      <c r="L187" s="13">
        <f t="shared" si="66"/>
        <v>110004</v>
      </c>
      <c r="M187" s="13">
        <f t="shared" si="64"/>
        <v>116305</v>
      </c>
      <c r="N187" s="13">
        <v>83998</v>
      </c>
      <c r="O187" s="13">
        <v>55880</v>
      </c>
      <c r="P187" s="13">
        <f t="shared" si="67"/>
        <v>28118</v>
      </c>
      <c r="Q187" s="13">
        <f t="shared" si="68"/>
        <v>138122</v>
      </c>
    </row>
    <row r="188" spans="1:17" ht="12.75" x14ac:dyDescent="0.2">
      <c r="A188" s="18" t="s">
        <v>80</v>
      </c>
      <c r="B188" s="13">
        <v>7889</v>
      </c>
      <c r="C188" s="13">
        <v>1865</v>
      </c>
      <c r="D188" s="13">
        <v>81453</v>
      </c>
      <c r="E188" s="13">
        <v>5773</v>
      </c>
      <c r="F188" s="13">
        <f t="shared" si="69"/>
        <v>85434</v>
      </c>
      <c r="G188" s="13">
        <v>361</v>
      </c>
      <c r="H188" s="13">
        <v>6986</v>
      </c>
      <c r="I188" s="13">
        <v>6469</v>
      </c>
      <c r="J188" s="15">
        <v>0</v>
      </c>
      <c r="K188" s="15">
        <v>0</v>
      </c>
      <c r="L188" s="13">
        <f t="shared" si="66"/>
        <v>99250</v>
      </c>
      <c r="M188" s="13">
        <f t="shared" si="64"/>
        <v>105023</v>
      </c>
      <c r="N188" s="13">
        <v>74495</v>
      </c>
      <c r="O188" s="13">
        <v>53607</v>
      </c>
      <c r="P188" s="13">
        <f t="shared" si="67"/>
        <v>20888</v>
      </c>
      <c r="Q188" s="13">
        <f t="shared" si="68"/>
        <v>120138</v>
      </c>
    </row>
    <row r="189" spans="1:17" ht="12.75" x14ac:dyDescent="0.2">
      <c r="A189" s="18" t="s">
        <v>92</v>
      </c>
      <c r="B189" s="13">
        <v>8005</v>
      </c>
      <c r="C189" s="13">
        <v>1892</v>
      </c>
      <c r="D189" s="13">
        <v>94219</v>
      </c>
      <c r="E189" s="13">
        <v>6095</v>
      </c>
      <c r="F189" s="13">
        <f t="shared" si="69"/>
        <v>98021</v>
      </c>
      <c r="G189" s="13">
        <v>352</v>
      </c>
      <c r="H189" s="13">
        <v>6986</v>
      </c>
      <c r="I189" s="13">
        <v>6469</v>
      </c>
      <c r="J189" s="15">
        <v>0</v>
      </c>
      <c r="K189" s="15">
        <v>0</v>
      </c>
      <c r="L189" s="13">
        <f t="shared" si="66"/>
        <v>111828</v>
      </c>
      <c r="M189" s="13">
        <f t="shared" si="64"/>
        <v>117923</v>
      </c>
      <c r="N189" s="13">
        <v>73058</v>
      </c>
      <c r="O189" s="13">
        <v>53962</v>
      </c>
      <c r="P189" s="13">
        <f t="shared" si="67"/>
        <v>19096</v>
      </c>
      <c r="Q189" s="13">
        <f t="shared" si="68"/>
        <v>130924</v>
      </c>
    </row>
    <row r="190" spans="1:17" ht="12.75" x14ac:dyDescent="0.2">
      <c r="A190" s="18" t="s">
        <v>93</v>
      </c>
      <c r="B190" s="13">
        <v>7890</v>
      </c>
      <c r="C190" s="13">
        <v>1939</v>
      </c>
      <c r="D190" s="13">
        <v>99854</v>
      </c>
      <c r="E190" s="13">
        <v>5737</v>
      </c>
      <c r="F190" s="13">
        <f t="shared" si="69"/>
        <v>103946</v>
      </c>
      <c r="G190" s="13">
        <v>351</v>
      </c>
      <c r="H190" s="13">
        <v>6986</v>
      </c>
      <c r="I190" s="13">
        <v>6469</v>
      </c>
      <c r="J190" s="15">
        <v>0</v>
      </c>
      <c r="K190" s="15">
        <v>0</v>
      </c>
      <c r="L190" s="13">
        <f t="shared" si="66"/>
        <v>117752</v>
      </c>
      <c r="M190" s="13">
        <f t="shared" si="64"/>
        <v>123489</v>
      </c>
      <c r="N190" s="13">
        <v>68575</v>
      </c>
      <c r="O190" s="13">
        <v>46464</v>
      </c>
      <c r="P190" s="13">
        <f t="shared" si="67"/>
        <v>22111</v>
      </c>
      <c r="Q190" s="13">
        <f t="shared" si="68"/>
        <v>139863</v>
      </c>
    </row>
    <row r="191" spans="1:17" ht="12.75" x14ac:dyDescent="0.2">
      <c r="A191" s="18" t="s">
        <v>81</v>
      </c>
      <c r="B191" s="13">
        <v>7806</v>
      </c>
      <c r="C191" s="13">
        <v>1918</v>
      </c>
      <c r="D191" s="13">
        <v>95251</v>
      </c>
      <c r="E191" s="13">
        <v>7286</v>
      </c>
      <c r="F191" s="13">
        <f t="shared" si="69"/>
        <v>97689</v>
      </c>
      <c r="G191" s="13">
        <v>250</v>
      </c>
      <c r="H191" s="13">
        <v>6986</v>
      </c>
      <c r="I191" s="13">
        <v>6469</v>
      </c>
      <c r="J191" s="15">
        <v>0</v>
      </c>
      <c r="K191" s="15">
        <v>0</v>
      </c>
      <c r="L191" s="13">
        <f t="shared" si="66"/>
        <v>111394</v>
      </c>
      <c r="M191" s="13">
        <f t="shared" si="64"/>
        <v>118680</v>
      </c>
      <c r="N191" s="13">
        <v>69569</v>
      </c>
      <c r="O191" s="13">
        <v>51696</v>
      </c>
      <c r="P191" s="13">
        <f t="shared" si="67"/>
        <v>17873</v>
      </c>
      <c r="Q191" s="13">
        <f t="shared" si="68"/>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0">SUM(F193:K193)</f>
        <v>107032</v>
      </c>
      <c r="M193" s="13">
        <f t="shared" si="64"/>
        <v>112597</v>
      </c>
      <c r="N193" s="13">
        <v>67266</v>
      </c>
      <c r="O193" s="13">
        <v>50804</v>
      </c>
      <c r="P193" s="13">
        <f t="shared" ref="P193:P204" si="71">N193-O193</f>
        <v>16462</v>
      </c>
      <c r="Q193" s="13">
        <f t="shared" ref="Q193:Q204" si="72">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0"/>
        <v>111705</v>
      </c>
      <c r="M194" s="13">
        <f t="shared" si="64"/>
        <v>117034</v>
      </c>
      <c r="N194" s="13">
        <v>82563</v>
      </c>
      <c r="O194" s="13">
        <v>53528</v>
      </c>
      <c r="P194" s="13">
        <f t="shared" si="71"/>
        <v>29035</v>
      </c>
      <c r="Q194" s="13">
        <f t="shared" si="72"/>
        <v>140740</v>
      </c>
    </row>
    <row r="195" spans="1:17" ht="12.75" x14ac:dyDescent="0.2">
      <c r="A195" s="18" t="s">
        <v>78</v>
      </c>
      <c r="B195" s="13">
        <v>7728</v>
      </c>
      <c r="C195" s="13">
        <v>1976</v>
      </c>
      <c r="D195" s="13">
        <v>89560</v>
      </c>
      <c r="E195" s="13">
        <v>5909</v>
      </c>
      <c r="F195" s="13">
        <f t="shared" ref="F195:F204" si="73">B195+C195+D195-E195</f>
        <v>93355</v>
      </c>
      <c r="G195" s="13">
        <v>232</v>
      </c>
      <c r="H195" s="13">
        <v>6986</v>
      </c>
      <c r="I195" s="13">
        <v>6469</v>
      </c>
      <c r="J195" s="15">
        <v>0</v>
      </c>
      <c r="K195" s="15">
        <v>0</v>
      </c>
      <c r="L195" s="13">
        <f t="shared" si="70"/>
        <v>107042</v>
      </c>
      <c r="M195" s="13">
        <f t="shared" si="64"/>
        <v>112951</v>
      </c>
      <c r="N195" s="13">
        <v>81595</v>
      </c>
      <c r="O195" s="13">
        <v>58215</v>
      </c>
      <c r="P195" s="13">
        <f t="shared" si="71"/>
        <v>23380</v>
      </c>
      <c r="Q195" s="13">
        <f t="shared" si="72"/>
        <v>130422</v>
      </c>
    </row>
    <row r="196" spans="1:17" ht="12.75" x14ac:dyDescent="0.2">
      <c r="A196" s="18" t="s">
        <v>88</v>
      </c>
      <c r="B196" s="13">
        <v>7791</v>
      </c>
      <c r="C196" s="13">
        <v>1992</v>
      </c>
      <c r="D196" s="13">
        <v>81919</v>
      </c>
      <c r="E196" s="13">
        <v>3443</v>
      </c>
      <c r="F196" s="13">
        <f t="shared" si="73"/>
        <v>88259</v>
      </c>
      <c r="G196" s="13">
        <v>233</v>
      </c>
      <c r="H196" s="13">
        <v>6986</v>
      </c>
      <c r="I196" s="13">
        <v>6469</v>
      </c>
      <c r="J196" s="15">
        <v>0</v>
      </c>
      <c r="K196" s="15">
        <v>0</v>
      </c>
      <c r="L196" s="13">
        <f t="shared" si="70"/>
        <v>101947</v>
      </c>
      <c r="M196" s="13">
        <f t="shared" si="64"/>
        <v>105390</v>
      </c>
      <c r="N196" s="13">
        <v>73746</v>
      </c>
      <c r="O196" s="13">
        <v>55102</v>
      </c>
      <c r="P196" s="13">
        <f t="shared" si="71"/>
        <v>18644</v>
      </c>
      <c r="Q196" s="13">
        <f t="shared" si="72"/>
        <v>120591</v>
      </c>
    </row>
    <row r="197" spans="1:17" ht="12.75" x14ac:dyDescent="0.2">
      <c r="A197" s="18" t="s">
        <v>89</v>
      </c>
      <c r="B197" s="13">
        <v>7725</v>
      </c>
      <c r="C197" s="13">
        <v>2051</v>
      </c>
      <c r="D197" s="13">
        <v>106999</v>
      </c>
      <c r="E197" s="13">
        <v>3286</v>
      </c>
      <c r="F197" s="13">
        <f t="shared" si="73"/>
        <v>113489</v>
      </c>
      <c r="G197" s="13">
        <v>558</v>
      </c>
      <c r="H197" s="13">
        <v>6986</v>
      </c>
      <c r="I197" s="13">
        <v>6469</v>
      </c>
      <c r="J197" s="15">
        <v>0</v>
      </c>
      <c r="K197" s="15">
        <v>0</v>
      </c>
      <c r="L197" s="13">
        <f t="shared" si="70"/>
        <v>127502</v>
      </c>
      <c r="M197" s="13">
        <f t="shared" si="64"/>
        <v>130788</v>
      </c>
      <c r="N197" s="13">
        <v>76405</v>
      </c>
      <c r="O197" s="13">
        <v>54632</v>
      </c>
      <c r="P197" s="13">
        <f t="shared" si="71"/>
        <v>21773</v>
      </c>
      <c r="Q197" s="13">
        <f t="shared" si="72"/>
        <v>149275</v>
      </c>
    </row>
    <row r="198" spans="1:17" ht="12.75" x14ac:dyDescent="0.2">
      <c r="A198" s="18" t="s">
        <v>79</v>
      </c>
      <c r="B198" s="13">
        <v>7747</v>
      </c>
      <c r="C198" s="13">
        <v>2044</v>
      </c>
      <c r="D198" s="13">
        <v>111161</v>
      </c>
      <c r="E198" s="13">
        <v>4408</v>
      </c>
      <c r="F198" s="13">
        <f t="shared" si="73"/>
        <v>116544</v>
      </c>
      <c r="G198" s="13">
        <v>198</v>
      </c>
      <c r="H198" s="13">
        <v>6986</v>
      </c>
      <c r="I198" s="13">
        <v>6469</v>
      </c>
      <c r="J198" s="15">
        <v>0</v>
      </c>
      <c r="K198" s="15">
        <v>0</v>
      </c>
      <c r="L198" s="13">
        <f t="shared" si="70"/>
        <v>130197</v>
      </c>
      <c r="M198" s="13">
        <f t="shared" si="64"/>
        <v>134605</v>
      </c>
      <c r="N198" s="13">
        <v>65809</v>
      </c>
      <c r="O198" s="13">
        <v>54899</v>
      </c>
      <c r="P198" s="13">
        <f t="shared" si="71"/>
        <v>10910</v>
      </c>
      <c r="Q198" s="13">
        <f t="shared" si="72"/>
        <v>141107</v>
      </c>
    </row>
    <row r="199" spans="1:17" ht="12.75" x14ac:dyDescent="0.2">
      <c r="A199" s="18" t="s">
        <v>90</v>
      </c>
      <c r="B199" s="13">
        <v>7747</v>
      </c>
      <c r="C199" s="13">
        <v>2044</v>
      </c>
      <c r="D199" s="13">
        <v>104068</v>
      </c>
      <c r="E199" s="13">
        <v>3516</v>
      </c>
      <c r="F199" s="13">
        <f t="shared" si="73"/>
        <v>110343</v>
      </c>
      <c r="G199" s="13">
        <v>198</v>
      </c>
      <c r="H199" s="13">
        <v>6986</v>
      </c>
      <c r="I199" s="13">
        <v>6469</v>
      </c>
      <c r="J199" s="15">
        <v>0</v>
      </c>
      <c r="K199" s="15">
        <v>0</v>
      </c>
      <c r="L199" s="13">
        <f t="shared" si="70"/>
        <v>123996</v>
      </c>
      <c r="M199" s="13">
        <f t="shared" si="64"/>
        <v>127512</v>
      </c>
      <c r="N199" s="13">
        <v>78325</v>
      </c>
      <c r="O199" s="13">
        <v>57375</v>
      </c>
      <c r="P199" s="13">
        <f t="shared" si="71"/>
        <v>20950</v>
      </c>
      <c r="Q199" s="13">
        <f t="shared" si="72"/>
        <v>144946</v>
      </c>
    </row>
    <row r="200" spans="1:17" ht="12.75" x14ac:dyDescent="0.2">
      <c r="A200" s="18" t="s">
        <v>91</v>
      </c>
      <c r="B200" s="13">
        <v>7703</v>
      </c>
      <c r="C200" s="13">
        <v>2123</v>
      </c>
      <c r="D200" s="13">
        <v>103772</v>
      </c>
      <c r="E200" s="13">
        <v>2861</v>
      </c>
      <c r="F200" s="13">
        <f t="shared" si="73"/>
        <v>110737</v>
      </c>
      <c r="G200" s="13">
        <v>397</v>
      </c>
      <c r="H200" s="13">
        <v>6986</v>
      </c>
      <c r="I200" s="13">
        <v>6469</v>
      </c>
      <c r="J200" s="15">
        <v>0</v>
      </c>
      <c r="K200" s="15">
        <v>0</v>
      </c>
      <c r="L200" s="13">
        <f t="shared" si="70"/>
        <v>124589</v>
      </c>
      <c r="M200" s="13">
        <f t="shared" si="64"/>
        <v>127450</v>
      </c>
      <c r="N200" s="13">
        <v>82422</v>
      </c>
      <c r="O200" s="13">
        <v>57274</v>
      </c>
      <c r="P200" s="13">
        <f t="shared" si="71"/>
        <v>25148</v>
      </c>
      <c r="Q200" s="13">
        <f t="shared" si="72"/>
        <v>149737</v>
      </c>
    </row>
    <row r="201" spans="1:17" ht="12.75" x14ac:dyDescent="0.2">
      <c r="A201" s="18" t="s">
        <v>80</v>
      </c>
      <c r="B201" s="13">
        <v>7703</v>
      </c>
      <c r="C201" s="13">
        <v>2123</v>
      </c>
      <c r="D201" s="13">
        <v>91433</v>
      </c>
      <c r="E201" s="13">
        <v>3791</v>
      </c>
      <c r="F201" s="13">
        <f t="shared" si="73"/>
        <v>97468</v>
      </c>
      <c r="G201" s="13">
        <v>348</v>
      </c>
      <c r="H201" s="13">
        <v>6986</v>
      </c>
      <c r="I201" s="13">
        <v>6469</v>
      </c>
      <c r="J201" s="15">
        <v>0</v>
      </c>
      <c r="K201" s="15">
        <v>0</v>
      </c>
      <c r="L201" s="13">
        <f t="shared" si="70"/>
        <v>111271</v>
      </c>
      <c r="M201" s="13">
        <f t="shared" si="64"/>
        <v>115062</v>
      </c>
      <c r="N201" s="13">
        <v>80922</v>
      </c>
      <c r="O201" s="13">
        <v>60904</v>
      </c>
      <c r="P201" s="13">
        <f t="shared" si="71"/>
        <v>20018</v>
      </c>
      <c r="Q201" s="13">
        <f t="shared" si="72"/>
        <v>131289</v>
      </c>
    </row>
    <row r="202" spans="1:17" ht="12.75" x14ac:dyDescent="0.2">
      <c r="A202" s="18" t="s">
        <v>92</v>
      </c>
      <c r="B202" s="13">
        <v>7703</v>
      </c>
      <c r="C202" s="13">
        <v>2123</v>
      </c>
      <c r="D202" s="13">
        <v>77095</v>
      </c>
      <c r="E202" s="13">
        <v>3266</v>
      </c>
      <c r="F202" s="13">
        <f t="shared" si="73"/>
        <v>83655</v>
      </c>
      <c r="G202" s="13">
        <v>328</v>
      </c>
      <c r="H202" s="13">
        <v>6986</v>
      </c>
      <c r="I202" s="13">
        <v>6469</v>
      </c>
      <c r="J202" s="15">
        <v>0</v>
      </c>
      <c r="K202" s="15">
        <v>0</v>
      </c>
      <c r="L202" s="13">
        <f t="shared" si="70"/>
        <v>97438</v>
      </c>
      <c r="M202" s="13">
        <f t="shared" si="64"/>
        <v>100704</v>
      </c>
      <c r="N202" s="13">
        <v>72006</v>
      </c>
      <c r="O202" s="13">
        <v>57570</v>
      </c>
      <c r="P202" s="13">
        <f t="shared" si="71"/>
        <v>14436</v>
      </c>
      <c r="Q202" s="13">
        <f t="shared" si="72"/>
        <v>111874</v>
      </c>
    </row>
    <row r="203" spans="1:17" ht="12.75" x14ac:dyDescent="0.2">
      <c r="A203" s="18" t="s">
        <v>93</v>
      </c>
      <c r="B203" s="13">
        <v>7933</v>
      </c>
      <c r="C203" s="13">
        <v>2265</v>
      </c>
      <c r="D203" s="13">
        <v>76079</v>
      </c>
      <c r="E203" s="13">
        <v>4035</v>
      </c>
      <c r="F203" s="13">
        <f t="shared" si="73"/>
        <v>82242</v>
      </c>
      <c r="G203" s="13">
        <v>366</v>
      </c>
      <c r="H203" s="13">
        <v>6986</v>
      </c>
      <c r="I203" s="13">
        <v>6469</v>
      </c>
      <c r="J203" s="15">
        <v>0</v>
      </c>
      <c r="K203" s="15">
        <v>0</v>
      </c>
      <c r="L203" s="13">
        <f t="shared" si="70"/>
        <v>96063</v>
      </c>
      <c r="M203" s="13">
        <f t="shared" si="64"/>
        <v>100098</v>
      </c>
      <c r="N203" s="13">
        <v>63529</v>
      </c>
      <c r="O203" s="13">
        <v>52354</v>
      </c>
      <c r="P203" s="13">
        <f t="shared" si="71"/>
        <v>11175</v>
      </c>
      <c r="Q203" s="13">
        <f t="shared" si="72"/>
        <v>107238</v>
      </c>
    </row>
    <row r="204" spans="1:17" ht="12.75" x14ac:dyDescent="0.2">
      <c r="A204" s="18" t="s">
        <v>81</v>
      </c>
      <c r="B204" s="13">
        <v>8148</v>
      </c>
      <c r="C204" s="13">
        <v>2324</v>
      </c>
      <c r="D204" s="13">
        <v>63874</v>
      </c>
      <c r="E204" s="13">
        <v>3216</v>
      </c>
      <c r="F204" s="13">
        <f t="shared" si="73"/>
        <v>71130</v>
      </c>
      <c r="G204" s="13">
        <v>41</v>
      </c>
      <c r="H204" s="13">
        <v>6986</v>
      </c>
      <c r="I204" s="13">
        <v>6469</v>
      </c>
      <c r="J204" s="15">
        <v>0</v>
      </c>
      <c r="K204" s="15">
        <v>0</v>
      </c>
      <c r="L204" s="13">
        <f t="shared" si="70"/>
        <v>84626</v>
      </c>
      <c r="M204" s="13">
        <f t="shared" si="64"/>
        <v>87842</v>
      </c>
      <c r="N204" s="13">
        <v>73838</v>
      </c>
      <c r="O204" s="13">
        <v>56720</v>
      </c>
      <c r="P204" s="13">
        <f t="shared" si="71"/>
        <v>17118</v>
      </c>
      <c r="Q204" s="13">
        <f t="shared" si="72"/>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4">B206+C206+D206-E206</f>
        <v>78543</v>
      </c>
      <c r="G206" s="13">
        <v>607</v>
      </c>
      <c r="H206" s="13">
        <v>6986</v>
      </c>
      <c r="I206" s="13">
        <v>6469</v>
      </c>
      <c r="J206" s="15">
        <v>0</v>
      </c>
      <c r="K206" s="15">
        <v>0</v>
      </c>
      <c r="L206" s="13">
        <f t="shared" ref="L206:L217" si="75">SUM(F206:K206)</f>
        <v>92605</v>
      </c>
      <c r="M206" s="13">
        <f t="shared" si="64"/>
        <v>95655</v>
      </c>
      <c r="N206" s="13">
        <v>67782</v>
      </c>
      <c r="O206" s="13">
        <v>51146</v>
      </c>
      <c r="P206" s="13">
        <f t="shared" ref="P206:P217" si="76">N206-O206</f>
        <v>16636</v>
      </c>
      <c r="Q206" s="13">
        <f t="shared" ref="Q206:Q217" si="77">L206+P206</f>
        <v>109241</v>
      </c>
    </row>
    <row r="207" spans="1:17" ht="12.75" x14ac:dyDescent="0.2">
      <c r="A207" s="18" t="s">
        <v>87</v>
      </c>
      <c r="B207" s="13">
        <v>11840</v>
      </c>
      <c r="C207" s="13">
        <v>2395</v>
      </c>
      <c r="D207" s="13">
        <v>67117</v>
      </c>
      <c r="E207" s="13">
        <v>3130</v>
      </c>
      <c r="F207" s="13">
        <f t="shared" si="74"/>
        <v>78222</v>
      </c>
      <c r="G207" s="13">
        <v>569</v>
      </c>
      <c r="H207" s="13">
        <v>6986</v>
      </c>
      <c r="I207" s="13">
        <v>6469</v>
      </c>
      <c r="J207" s="15">
        <v>0</v>
      </c>
      <c r="K207" s="15">
        <v>0</v>
      </c>
      <c r="L207" s="13">
        <f t="shared" si="75"/>
        <v>92246</v>
      </c>
      <c r="M207" s="13">
        <f t="shared" si="64"/>
        <v>95376</v>
      </c>
      <c r="N207" s="13">
        <v>76732</v>
      </c>
      <c r="O207" s="13">
        <v>56711</v>
      </c>
      <c r="P207" s="13">
        <f t="shared" si="76"/>
        <v>20021</v>
      </c>
      <c r="Q207" s="13">
        <f t="shared" si="77"/>
        <v>112267</v>
      </c>
    </row>
    <row r="208" spans="1:17" ht="12.75" x14ac:dyDescent="0.2">
      <c r="A208" s="18" t="s">
        <v>78</v>
      </c>
      <c r="B208" s="13">
        <v>11840</v>
      </c>
      <c r="C208" s="13">
        <v>2395</v>
      </c>
      <c r="D208" s="13">
        <v>73869</v>
      </c>
      <c r="E208" s="13">
        <v>4207</v>
      </c>
      <c r="F208" s="13">
        <f t="shared" si="74"/>
        <v>83897</v>
      </c>
      <c r="G208" s="13">
        <v>488</v>
      </c>
      <c r="H208" s="13">
        <v>6986</v>
      </c>
      <c r="I208" s="13">
        <v>6469</v>
      </c>
      <c r="J208" s="15">
        <v>0</v>
      </c>
      <c r="K208" s="15">
        <v>0</v>
      </c>
      <c r="L208" s="13">
        <f t="shared" si="75"/>
        <v>97840</v>
      </c>
      <c r="M208" s="13">
        <f t="shared" si="64"/>
        <v>102047</v>
      </c>
      <c r="N208" s="13">
        <v>73966</v>
      </c>
      <c r="O208" s="13">
        <v>61607</v>
      </c>
      <c r="P208" s="13">
        <f t="shared" si="76"/>
        <v>12359</v>
      </c>
      <c r="Q208" s="13">
        <f t="shared" si="77"/>
        <v>110199</v>
      </c>
    </row>
    <row r="209" spans="1:17" ht="12.75" x14ac:dyDescent="0.2">
      <c r="A209" s="18" t="s">
        <v>88</v>
      </c>
      <c r="B209" s="13">
        <v>11840</v>
      </c>
      <c r="C209" s="13">
        <v>2395</v>
      </c>
      <c r="D209" s="13">
        <v>75942</v>
      </c>
      <c r="E209" s="13">
        <v>3115</v>
      </c>
      <c r="F209" s="13">
        <f t="shared" si="74"/>
        <v>87062</v>
      </c>
      <c r="G209" s="13">
        <v>402</v>
      </c>
      <c r="H209" s="13">
        <v>6986</v>
      </c>
      <c r="I209" s="13">
        <v>6469</v>
      </c>
      <c r="J209" s="15">
        <v>0</v>
      </c>
      <c r="K209" s="15">
        <v>0</v>
      </c>
      <c r="L209" s="13">
        <f t="shared" si="75"/>
        <v>100919</v>
      </c>
      <c r="M209" s="13">
        <f t="shared" si="64"/>
        <v>104034</v>
      </c>
      <c r="N209" s="13">
        <v>77420</v>
      </c>
      <c r="O209" s="13">
        <v>69148</v>
      </c>
      <c r="P209" s="13">
        <f t="shared" si="76"/>
        <v>8272</v>
      </c>
      <c r="Q209" s="13">
        <f t="shared" si="77"/>
        <v>109191</v>
      </c>
    </row>
    <row r="210" spans="1:17" ht="12.75" x14ac:dyDescent="0.2">
      <c r="A210" s="18" t="s">
        <v>89</v>
      </c>
      <c r="B210" s="13">
        <v>11519</v>
      </c>
      <c r="C210" s="13">
        <v>2412</v>
      </c>
      <c r="D210" s="13">
        <v>108939</v>
      </c>
      <c r="E210" s="13">
        <v>3031</v>
      </c>
      <c r="F210" s="13">
        <f t="shared" si="74"/>
        <v>119839</v>
      </c>
      <c r="G210" s="13">
        <v>400</v>
      </c>
      <c r="H210" s="13">
        <v>6986</v>
      </c>
      <c r="I210" s="13">
        <v>6469</v>
      </c>
      <c r="J210" s="15">
        <v>0</v>
      </c>
      <c r="K210" s="15">
        <v>0</v>
      </c>
      <c r="L210" s="13">
        <f t="shared" si="75"/>
        <v>133694</v>
      </c>
      <c r="M210" s="13">
        <f t="shared" si="64"/>
        <v>136725</v>
      </c>
      <c r="N210" s="13">
        <v>75241</v>
      </c>
      <c r="O210" s="13">
        <v>70405</v>
      </c>
      <c r="P210" s="13">
        <f t="shared" si="76"/>
        <v>4836</v>
      </c>
      <c r="Q210" s="13">
        <f t="shared" si="77"/>
        <v>138530</v>
      </c>
    </row>
    <row r="211" spans="1:17" ht="12.75" x14ac:dyDescent="0.2">
      <c r="A211" s="18" t="s">
        <v>79</v>
      </c>
      <c r="B211" s="13">
        <v>11519</v>
      </c>
      <c r="C211" s="13">
        <v>2388</v>
      </c>
      <c r="D211" s="13">
        <v>116900</v>
      </c>
      <c r="E211" s="13">
        <v>1967</v>
      </c>
      <c r="F211" s="13">
        <f t="shared" si="74"/>
        <v>128840</v>
      </c>
      <c r="G211" s="13">
        <v>392</v>
      </c>
      <c r="H211" s="13">
        <v>6986</v>
      </c>
      <c r="I211" s="13">
        <v>6469</v>
      </c>
      <c r="J211" s="15">
        <v>0</v>
      </c>
      <c r="K211" s="15">
        <v>0</v>
      </c>
      <c r="L211" s="13">
        <f t="shared" si="75"/>
        <v>142687</v>
      </c>
      <c r="M211" s="13">
        <f t="shared" si="64"/>
        <v>144654</v>
      </c>
      <c r="N211" s="13">
        <v>69965</v>
      </c>
      <c r="O211" s="13">
        <v>64015</v>
      </c>
      <c r="P211" s="13">
        <f t="shared" si="76"/>
        <v>5950</v>
      </c>
      <c r="Q211" s="13">
        <f t="shared" si="77"/>
        <v>148637</v>
      </c>
    </row>
    <row r="212" spans="1:17" ht="12.75" x14ac:dyDescent="0.2">
      <c r="A212" s="18" t="s">
        <v>90</v>
      </c>
      <c r="B212" s="13">
        <v>11818</v>
      </c>
      <c r="C212" s="13">
        <v>1967</v>
      </c>
      <c r="D212" s="13">
        <v>110280</v>
      </c>
      <c r="E212" s="13">
        <v>1547</v>
      </c>
      <c r="F212" s="13">
        <f t="shared" si="74"/>
        <v>122518</v>
      </c>
      <c r="G212" s="13">
        <v>384</v>
      </c>
      <c r="H212" s="13">
        <v>6986</v>
      </c>
      <c r="I212" s="13">
        <v>6469</v>
      </c>
      <c r="J212" s="15">
        <v>0</v>
      </c>
      <c r="K212" s="15">
        <v>0</v>
      </c>
      <c r="L212" s="13">
        <f t="shared" si="75"/>
        <v>136357</v>
      </c>
      <c r="M212" s="13">
        <f t="shared" si="64"/>
        <v>137904</v>
      </c>
      <c r="N212" s="13">
        <v>75571</v>
      </c>
      <c r="O212" s="13">
        <v>60923</v>
      </c>
      <c r="P212" s="13">
        <f t="shared" si="76"/>
        <v>14648</v>
      </c>
      <c r="Q212" s="13">
        <f t="shared" si="77"/>
        <v>151005</v>
      </c>
    </row>
    <row r="213" spans="1:17" ht="12.75" x14ac:dyDescent="0.2">
      <c r="A213" s="18" t="s">
        <v>91</v>
      </c>
      <c r="B213" s="13">
        <v>11806</v>
      </c>
      <c r="C213" s="13">
        <v>2061</v>
      </c>
      <c r="D213" s="13">
        <v>102030</v>
      </c>
      <c r="E213" s="13">
        <v>2069</v>
      </c>
      <c r="F213" s="13">
        <f t="shared" si="74"/>
        <v>113828</v>
      </c>
      <c r="G213" s="13">
        <v>322</v>
      </c>
      <c r="H213" s="13">
        <v>6986</v>
      </c>
      <c r="I213" s="13">
        <v>6469</v>
      </c>
      <c r="J213" s="15">
        <v>0</v>
      </c>
      <c r="K213" s="15">
        <v>0</v>
      </c>
      <c r="L213" s="13">
        <f t="shared" si="75"/>
        <v>127605</v>
      </c>
      <c r="M213" s="13">
        <f t="shared" si="64"/>
        <v>129674</v>
      </c>
      <c r="N213" s="13">
        <v>117490</v>
      </c>
      <c r="O213" s="13">
        <v>74372</v>
      </c>
      <c r="P213" s="13">
        <f t="shared" si="76"/>
        <v>43118</v>
      </c>
      <c r="Q213" s="13">
        <f t="shared" si="77"/>
        <v>170723</v>
      </c>
    </row>
    <row r="214" spans="1:17" ht="12.75" x14ac:dyDescent="0.2">
      <c r="A214" s="18" t="s">
        <v>80</v>
      </c>
      <c r="B214" s="13">
        <v>11806</v>
      </c>
      <c r="C214" s="13">
        <v>2061</v>
      </c>
      <c r="D214" s="13">
        <v>106027</v>
      </c>
      <c r="E214" s="13">
        <v>1980</v>
      </c>
      <c r="F214" s="13">
        <f t="shared" si="74"/>
        <v>117914</v>
      </c>
      <c r="G214" s="13">
        <v>310</v>
      </c>
      <c r="H214" s="13">
        <v>6986</v>
      </c>
      <c r="I214" s="13">
        <v>6469</v>
      </c>
      <c r="J214" s="15">
        <v>0</v>
      </c>
      <c r="K214" s="15">
        <v>0</v>
      </c>
      <c r="L214" s="13">
        <f t="shared" si="75"/>
        <v>131679</v>
      </c>
      <c r="M214" s="13">
        <f t="shared" si="64"/>
        <v>133659</v>
      </c>
      <c r="N214" s="13">
        <v>84047</v>
      </c>
      <c r="O214" s="13">
        <v>53349</v>
      </c>
      <c r="P214" s="13">
        <f t="shared" si="76"/>
        <v>30698</v>
      </c>
      <c r="Q214" s="13">
        <f t="shared" si="77"/>
        <v>162377</v>
      </c>
    </row>
    <row r="215" spans="1:17" ht="12.75" x14ac:dyDescent="0.2">
      <c r="A215" s="18" t="s">
        <v>92</v>
      </c>
      <c r="B215" s="13">
        <v>11806</v>
      </c>
      <c r="C215" s="13">
        <v>2061</v>
      </c>
      <c r="D215" s="13">
        <v>114632</v>
      </c>
      <c r="E215" s="13">
        <v>1928</v>
      </c>
      <c r="F215" s="13">
        <f t="shared" si="74"/>
        <v>126571</v>
      </c>
      <c r="G215" s="13">
        <v>306</v>
      </c>
      <c r="H215" s="13">
        <v>6986</v>
      </c>
      <c r="I215" s="13">
        <v>6469</v>
      </c>
      <c r="J215" s="15">
        <v>0</v>
      </c>
      <c r="K215" s="15">
        <v>0</v>
      </c>
      <c r="L215" s="13">
        <f t="shared" si="75"/>
        <v>140332</v>
      </c>
      <c r="M215" s="13">
        <f t="shared" si="64"/>
        <v>142260</v>
      </c>
      <c r="N215" s="13">
        <v>108363</v>
      </c>
      <c r="O215" s="13">
        <v>65981</v>
      </c>
      <c r="P215" s="13">
        <f t="shared" si="76"/>
        <v>42382</v>
      </c>
      <c r="Q215" s="13">
        <f t="shared" si="77"/>
        <v>182714</v>
      </c>
    </row>
    <row r="216" spans="1:17" ht="12.75" x14ac:dyDescent="0.2">
      <c r="A216" s="18" t="s">
        <v>93</v>
      </c>
      <c r="B216" s="13">
        <v>11806</v>
      </c>
      <c r="C216" s="13">
        <v>2161</v>
      </c>
      <c r="D216" s="13">
        <v>107738</v>
      </c>
      <c r="E216" s="13">
        <v>2104</v>
      </c>
      <c r="F216" s="13">
        <f t="shared" si="74"/>
        <v>119601</v>
      </c>
      <c r="G216" s="13">
        <v>375</v>
      </c>
      <c r="H216" s="13">
        <v>6986</v>
      </c>
      <c r="I216" s="13">
        <v>6469</v>
      </c>
      <c r="J216" s="15">
        <v>0</v>
      </c>
      <c r="K216" s="15">
        <v>0</v>
      </c>
      <c r="L216" s="13">
        <f t="shared" si="75"/>
        <v>133431</v>
      </c>
      <c r="M216" s="13">
        <f t="shared" si="64"/>
        <v>135535</v>
      </c>
      <c r="N216" s="13">
        <v>90210</v>
      </c>
      <c r="O216" s="13">
        <v>51806</v>
      </c>
      <c r="P216" s="13">
        <f t="shared" si="76"/>
        <v>38404</v>
      </c>
      <c r="Q216" s="13">
        <f t="shared" si="77"/>
        <v>171835</v>
      </c>
    </row>
    <row r="217" spans="1:17" ht="12.75" x14ac:dyDescent="0.2">
      <c r="A217" s="18" t="s">
        <v>81</v>
      </c>
      <c r="B217" s="13">
        <v>11806</v>
      </c>
      <c r="C217" s="13">
        <v>2322</v>
      </c>
      <c r="D217" s="13">
        <v>114356</v>
      </c>
      <c r="E217" s="13">
        <v>2075</v>
      </c>
      <c r="F217" s="13">
        <f t="shared" si="74"/>
        <v>126409</v>
      </c>
      <c r="G217" s="13">
        <v>366</v>
      </c>
      <c r="H217" s="13">
        <v>6986</v>
      </c>
      <c r="I217" s="13">
        <v>6469</v>
      </c>
      <c r="J217" s="15">
        <v>0</v>
      </c>
      <c r="K217" s="15">
        <v>0</v>
      </c>
      <c r="L217" s="13">
        <f t="shared" si="75"/>
        <v>140230</v>
      </c>
      <c r="M217" s="13">
        <f t="shared" si="64"/>
        <v>142305</v>
      </c>
      <c r="N217" s="13">
        <v>86311</v>
      </c>
      <c r="O217" s="13">
        <v>41474</v>
      </c>
      <c r="P217" s="13">
        <f t="shared" si="76"/>
        <v>44837</v>
      </c>
      <c r="Q217" s="13">
        <f t="shared" si="77"/>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78">B219+C219+D219-E219</f>
        <v>124618</v>
      </c>
      <c r="G219" s="13">
        <v>292</v>
      </c>
      <c r="H219" s="13">
        <v>6986</v>
      </c>
      <c r="I219" s="13">
        <v>6469</v>
      </c>
      <c r="J219" s="15">
        <v>0</v>
      </c>
      <c r="K219" s="15">
        <v>0</v>
      </c>
      <c r="L219" s="13">
        <f t="shared" ref="L219:L230" si="79">SUM(F219:K219)</f>
        <v>138365</v>
      </c>
      <c r="M219" s="13">
        <f>B219+C219+D219+G219+H219+I219+J219+K219</f>
        <v>140424</v>
      </c>
      <c r="N219" s="13">
        <v>83616</v>
      </c>
      <c r="O219" s="13">
        <v>53071</v>
      </c>
      <c r="P219" s="13">
        <f t="shared" ref="P219:P230" si="80">N219-O219</f>
        <v>30545</v>
      </c>
      <c r="Q219" s="13">
        <f>L219+P219</f>
        <v>168910</v>
      </c>
    </row>
    <row r="220" spans="1:17" ht="12.75" x14ac:dyDescent="0.2">
      <c r="A220" s="18" t="s">
        <v>87</v>
      </c>
      <c r="B220" s="13">
        <v>10886</v>
      </c>
      <c r="C220" s="13">
        <v>3232</v>
      </c>
      <c r="D220" s="13">
        <v>95448</v>
      </c>
      <c r="E220" s="13">
        <v>2251</v>
      </c>
      <c r="F220" s="13">
        <f t="shared" si="78"/>
        <v>107315</v>
      </c>
      <c r="G220" s="13">
        <v>275</v>
      </c>
      <c r="H220" s="13">
        <v>6986</v>
      </c>
      <c r="I220" s="13">
        <v>6469</v>
      </c>
      <c r="J220" s="15">
        <v>0</v>
      </c>
      <c r="K220" s="15">
        <v>0</v>
      </c>
      <c r="L220" s="13">
        <f t="shared" si="79"/>
        <v>121045</v>
      </c>
      <c r="M220" s="13">
        <f t="shared" ref="M220:M269" si="81">B220+C220+D220+G220+H220+I220+J220+K220</f>
        <v>123296</v>
      </c>
      <c r="N220" s="13">
        <v>88548</v>
      </c>
      <c r="O220" s="13">
        <v>49998</v>
      </c>
      <c r="P220" s="13">
        <f t="shared" si="80"/>
        <v>38550</v>
      </c>
      <c r="Q220" s="13">
        <f t="shared" ref="Q220:Q230" si="82">L220+P220</f>
        <v>159595</v>
      </c>
    </row>
    <row r="221" spans="1:17" ht="12.75" x14ac:dyDescent="0.2">
      <c r="A221" s="18" t="s">
        <v>78</v>
      </c>
      <c r="B221" s="13">
        <v>11361</v>
      </c>
      <c r="C221" s="13">
        <v>2837</v>
      </c>
      <c r="D221" s="13">
        <v>166576</v>
      </c>
      <c r="E221" s="13">
        <v>2063</v>
      </c>
      <c r="F221" s="13">
        <f t="shared" si="78"/>
        <v>178711</v>
      </c>
      <c r="G221" s="13">
        <v>229</v>
      </c>
      <c r="H221" s="13">
        <v>6986</v>
      </c>
      <c r="I221" s="13">
        <v>6469</v>
      </c>
      <c r="J221" s="15">
        <v>0</v>
      </c>
      <c r="K221" s="15">
        <v>0</v>
      </c>
      <c r="L221" s="13">
        <f t="shared" si="79"/>
        <v>192395</v>
      </c>
      <c r="M221" s="13">
        <f t="shared" si="81"/>
        <v>194458</v>
      </c>
      <c r="N221" s="13">
        <v>92237</v>
      </c>
      <c r="O221" s="13">
        <v>47325</v>
      </c>
      <c r="P221" s="13">
        <f t="shared" si="80"/>
        <v>44912</v>
      </c>
      <c r="Q221" s="13">
        <f t="shared" si="82"/>
        <v>237307</v>
      </c>
    </row>
    <row r="222" spans="1:17" ht="12.75" x14ac:dyDescent="0.2">
      <c r="A222" s="18" t="s">
        <v>88</v>
      </c>
      <c r="B222" s="13">
        <v>11128</v>
      </c>
      <c r="C222" s="13">
        <v>2779</v>
      </c>
      <c r="D222" s="13">
        <v>153746</v>
      </c>
      <c r="E222" s="13">
        <v>2303</v>
      </c>
      <c r="F222" s="13">
        <f t="shared" si="78"/>
        <v>165350</v>
      </c>
      <c r="G222" s="13">
        <v>229</v>
      </c>
      <c r="H222" s="13">
        <v>6986</v>
      </c>
      <c r="I222" s="13">
        <v>6469</v>
      </c>
      <c r="J222" s="15">
        <v>0</v>
      </c>
      <c r="K222" s="15">
        <v>0</v>
      </c>
      <c r="L222" s="13">
        <f t="shared" si="79"/>
        <v>179034</v>
      </c>
      <c r="M222" s="13">
        <f t="shared" si="81"/>
        <v>181337</v>
      </c>
      <c r="N222" s="13">
        <v>112986</v>
      </c>
      <c r="O222" s="13">
        <v>54970</v>
      </c>
      <c r="P222" s="13">
        <f t="shared" si="80"/>
        <v>58016</v>
      </c>
      <c r="Q222" s="13">
        <f t="shared" si="82"/>
        <v>237050</v>
      </c>
    </row>
    <row r="223" spans="1:17" ht="12.75" x14ac:dyDescent="0.2">
      <c r="A223" s="18" t="s">
        <v>89</v>
      </c>
      <c r="B223" s="13">
        <v>11135</v>
      </c>
      <c r="C223" s="13">
        <v>2896</v>
      </c>
      <c r="D223" s="13">
        <v>153315</v>
      </c>
      <c r="E223" s="13">
        <v>1710</v>
      </c>
      <c r="F223" s="13">
        <f t="shared" si="78"/>
        <v>165636</v>
      </c>
      <c r="G223" s="13">
        <v>216</v>
      </c>
      <c r="H223" s="13">
        <v>6986</v>
      </c>
      <c r="I223" s="13">
        <v>6469</v>
      </c>
      <c r="J223" s="15">
        <v>0</v>
      </c>
      <c r="K223" s="15">
        <v>0</v>
      </c>
      <c r="L223" s="13">
        <f t="shared" si="79"/>
        <v>179307</v>
      </c>
      <c r="M223" s="13">
        <f t="shared" si="81"/>
        <v>181017</v>
      </c>
      <c r="N223" s="13">
        <v>114515</v>
      </c>
      <c r="O223" s="13">
        <v>47530</v>
      </c>
      <c r="P223" s="13">
        <f t="shared" si="80"/>
        <v>66985</v>
      </c>
      <c r="Q223" s="13">
        <f t="shared" si="82"/>
        <v>246292</v>
      </c>
    </row>
    <row r="224" spans="1:17" ht="12.75" x14ac:dyDescent="0.2">
      <c r="A224" s="18" t="s">
        <v>79</v>
      </c>
      <c r="B224" s="13">
        <v>11280</v>
      </c>
      <c r="C224" s="13">
        <v>2934</v>
      </c>
      <c r="D224" s="13">
        <v>166028</v>
      </c>
      <c r="E224" s="13">
        <v>2523</v>
      </c>
      <c r="F224" s="13">
        <f t="shared" si="78"/>
        <v>177719</v>
      </c>
      <c r="G224" s="13">
        <v>216</v>
      </c>
      <c r="H224" s="13">
        <v>6986</v>
      </c>
      <c r="I224" s="13">
        <v>6469</v>
      </c>
      <c r="J224" s="15">
        <v>0</v>
      </c>
      <c r="K224" s="15">
        <v>0</v>
      </c>
      <c r="L224" s="13">
        <f t="shared" si="79"/>
        <v>191390</v>
      </c>
      <c r="M224" s="13">
        <f t="shared" si="81"/>
        <v>193913</v>
      </c>
      <c r="N224" s="13">
        <v>131309</v>
      </c>
      <c r="O224" s="13">
        <v>46017</v>
      </c>
      <c r="P224" s="13">
        <f t="shared" si="80"/>
        <v>85292</v>
      </c>
      <c r="Q224" s="13">
        <f t="shared" si="82"/>
        <v>276682</v>
      </c>
    </row>
    <row r="225" spans="1:17" ht="12.75" x14ac:dyDescent="0.2">
      <c r="A225" s="18" t="s">
        <v>90</v>
      </c>
      <c r="B225" s="13">
        <v>11078</v>
      </c>
      <c r="C225" s="13">
        <v>2882</v>
      </c>
      <c r="D225" s="13">
        <v>138578</v>
      </c>
      <c r="E225" s="13">
        <v>1316</v>
      </c>
      <c r="F225" s="13">
        <f t="shared" si="78"/>
        <v>151222</v>
      </c>
      <c r="G225" s="13">
        <v>212</v>
      </c>
      <c r="H225" s="13">
        <v>6986</v>
      </c>
      <c r="I225" s="13">
        <v>6469</v>
      </c>
      <c r="J225" s="15">
        <v>0</v>
      </c>
      <c r="K225" s="15">
        <v>0</v>
      </c>
      <c r="L225" s="13">
        <f t="shared" si="79"/>
        <v>164889</v>
      </c>
      <c r="M225" s="13">
        <f t="shared" si="81"/>
        <v>166205</v>
      </c>
      <c r="N225" s="13">
        <v>138516</v>
      </c>
      <c r="O225" s="13">
        <v>42533</v>
      </c>
      <c r="P225" s="13">
        <f t="shared" si="80"/>
        <v>95983</v>
      </c>
      <c r="Q225" s="13">
        <f t="shared" si="82"/>
        <v>260872</v>
      </c>
    </row>
    <row r="226" spans="1:17" ht="12.75" x14ac:dyDescent="0.2">
      <c r="A226" s="18" t="s">
        <v>91</v>
      </c>
      <c r="B226" s="13">
        <v>11006</v>
      </c>
      <c r="C226" s="13">
        <v>2989</v>
      </c>
      <c r="D226" s="13">
        <v>131250</v>
      </c>
      <c r="E226" s="13">
        <v>1209</v>
      </c>
      <c r="F226" s="13">
        <f t="shared" si="78"/>
        <v>144036</v>
      </c>
      <c r="G226" s="13">
        <v>208</v>
      </c>
      <c r="H226" s="13">
        <v>6986</v>
      </c>
      <c r="I226" s="13">
        <v>6469</v>
      </c>
      <c r="J226" s="15">
        <v>0</v>
      </c>
      <c r="K226" s="15">
        <v>0</v>
      </c>
      <c r="L226" s="13">
        <f t="shared" si="79"/>
        <v>157699</v>
      </c>
      <c r="M226" s="13">
        <f t="shared" si="81"/>
        <v>158908</v>
      </c>
      <c r="N226" s="13">
        <v>132599</v>
      </c>
      <c r="O226" s="13">
        <v>48303</v>
      </c>
      <c r="P226" s="13">
        <f t="shared" si="80"/>
        <v>84296</v>
      </c>
      <c r="Q226" s="13">
        <f t="shared" si="82"/>
        <v>241995</v>
      </c>
    </row>
    <row r="227" spans="1:17" ht="12.75" x14ac:dyDescent="0.2">
      <c r="A227" s="18" t="s">
        <v>80</v>
      </c>
      <c r="B227" s="13">
        <v>10948</v>
      </c>
      <c r="C227" s="13">
        <v>2973</v>
      </c>
      <c r="D227" s="13">
        <v>120562</v>
      </c>
      <c r="E227" s="13">
        <v>1451</v>
      </c>
      <c r="F227" s="13">
        <f t="shared" si="78"/>
        <v>133032</v>
      </c>
      <c r="G227" s="13">
        <v>192</v>
      </c>
      <c r="H227" s="13">
        <v>6986</v>
      </c>
      <c r="I227" s="13">
        <v>6469</v>
      </c>
      <c r="J227" s="15">
        <v>0</v>
      </c>
      <c r="K227" s="15">
        <v>0</v>
      </c>
      <c r="L227" s="13">
        <f t="shared" si="79"/>
        <v>146679</v>
      </c>
      <c r="M227" s="13">
        <f t="shared" si="81"/>
        <v>148130</v>
      </c>
      <c r="N227" s="13">
        <v>130815</v>
      </c>
      <c r="O227" s="13">
        <v>47779</v>
      </c>
      <c r="P227" s="13">
        <f t="shared" si="80"/>
        <v>83036</v>
      </c>
      <c r="Q227" s="13">
        <f t="shared" si="82"/>
        <v>229715</v>
      </c>
    </row>
    <row r="228" spans="1:17" ht="12.75" x14ac:dyDescent="0.2">
      <c r="A228" s="18" t="s">
        <v>92</v>
      </c>
      <c r="B228" s="13">
        <v>10791</v>
      </c>
      <c r="C228" s="13">
        <v>2931</v>
      </c>
      <c r="D228" s="13">
        <f>164904-16265-10791-2931</f>
        <v>134917</v>
      </c>
      <c r="E228" s="13">
        <v>1574</v>
      </c>
      <c r="F228" s="13">
        <f t="shared" si="78"/>
        <v>147065</v>
      </c>
      <c r="G228" s="13">
        <v>195</v>
      </c>
      <c r="H228" s="13">
        <v>6010</v>
      </c>
      <c r="I228" s="13">
        <v>10063</v>
      </c>
      <c r="J228" s="15">
        <v>0</v>
      </c>
      <c r="K228" s="15">
        <v>0</v>
      </c>
      <c r="L228" s="13">
        <f t="shared" si="79"/>
        <v>163333</v>
      </c>
      <c r="M228" s="13">
        <f t="shared" si="81"/>
        <v>164907</v>
      </c>
      <c r="N228" s="13">
        <v>128907</v>
      </c>
      <c r="O228" s="13">
        <v>45972</v>
      </c>
      <c r="P228" s="13">
        <f t="shared" si="80"/>
        <v>82935</v>
      </c>
      <c r="Q228" s="13">
        <f t="shared" si="82"/>
        <v>246268</v>
      </c>
    </row>
    <row r="229" spans="1:17" ht="12.75" x14ac:dyDescent="0.2">
      <c r="A229" s="18" t="s">
        <v>93</v>
      </c>
      <c r="B229" s="13">
        <v>10814</v>
      </c>
      <c r="C229" s="13">
        <v>3069</v>
      </c>
      <c r="D229" s="13">
        <f>163384-16265-10814-3069</f>
        <v>133236</v>
      </c>
      <c r="E229" s="13">
        <v>1707</v>
      </c>
      <c r="F229" s="13">
        <f t="shared" si="78"/>
        <v>145412</v>
      </c>
      <c r="G229" s="13">
        <v>191</v>
      </c>
      <c r="H229" s="13">
        <v>6010</v>
      </c>
      <c r="I229" s="13">
        <v>10063</v>
      </c>
      <c r="J229" s="15">
        <v>0</v>
      </c>
      <c r="K229" s="15">
        <v>0</v>
      </c>
      <c r="L229" s="13">
        <f t="shared" si="79"/>
        <v>161676</v>
      </c>
      <c r="M229" s="13">
        <f t="shared" si="81"/>
        <v>163383</v>
      </c>
      <c r="N229" s="13">
        <v>145760</v>
      </c>
      <c r="O229" s="13">
        <v>49528</v>
      </c>
      <c r="P229" s="13">
        <f t="shared" si="80"/>
        <v>96232</v>
      </c>
      <c r="Q229" s="13">
        <f t="shared" si="82"/>
        <v>257908</v>
      </c>
    </row>
    <row r="230" spans="1:17" ht="12.75" x14ac:dyDescent="0.2">
      <c r="A230" s="18" t="s">
        <v>81</v>
      </c>
      <c r="B230" s="13">
        <v>10990</v>
      </c>
      <c r="C230" s="13">
        <v>3119</v>
      </c>
      <c r="D230" s="13">
        <f>245604-16265-10990-3119</f>
        <v>215230</v>
      </c>
      <c r="E230" s="13">
        <v>1673</v>
      </c>
      <c r="F230" s="13">
        <f t="shared" si="78"/>
        <v>227666</v>
      </c>
      <c r="G230" s="13">
        <v>194</v>
      </c>
      <c r="H230" s="13">
        <v>6010</v>
      </c>
      <c r="I230" s="13">
        <v>10063</v>
      </c>
      <c r="J230" s="15">
        <v>0</v>
      </c>
      <c r="K230" s="15">
        <v>0</v>
      </c>
      <c r="L230" s="13">
        <f t="shared" si="79"/>
        <v>243933</v>
      </c>
      <c r="M230" s="13">
        <f t="shared" si="81"/>
        <v>245606</v>
      </c>
      <c r="N230" s="13">
        <v>138724</v>
      </c>
      <c r="O230" s="13">
        <v>56761</v>
      </c>
      <c r="P230" s="13">
        <f t="shared" si="80"/>
        <v>81963</v>
      </c>
      <c r="Q230" s="13">
        <f t="shared" si="82"/>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3">B232+C232+D232-E232</f>
        <v>215900</v>
      </c>
      <c r="G232" s="13">
        <v>320</v>
      </c>
      <c r="H232" s="13">
        <v>6010</v>
      </c>
      <c r="I232" s="13">
        <v>10063</v>
      </c>
      <c r="J232" s="15">
        <v>0</v>
      </c>
      <c r="K232" s="15">
        <v>0</v>
      </c>
      <c r="L232" s="13">
        <f t="shared" ref="L232:L243" si="84">SUM(F232:K232)</f>
        <v>232293</v>
      </c>
      <c r="M232" s="13">
        <f t="shared" si="81"/>
        <v>233657</v>
      </c>
      <c r="N232" s="13">
        <v>150494</v>
      </c>
      <c r="O232" s="13">
        <v>57280</v>
      </c>
      <c r="P232" s="13">
        <f t="shared" ref="P232:P243" si="85">N232-O232</f>
        <v>93214</v>
      </c>
      <c r="Q232" s="13">
        <f t="shared" ref="Q232:Q243" si="86">L232+P232</f>
        <v>325507</v>
      </c>
    </row>
    <row r="233" spans="1:17" ht="12.75" x14ac:dyDescent="0.2">
      <c r="A233" s="18" t="s">
        <v>87</v>
      </c>
      <c r="B233" s="13">
        <v>10902</v>
      </c>
      <c r="C233" s="13">
        <v>3231</v>
      </c>
      <c r="D233" s="13">
        <v>215643</v>
      </c>
      <c r="E233" s="13">
        <v>1441</v>
      </c>
      <c r="F233" s="13">
        <f t="shared" si="83"/>
        <v>228335</v>
      </c>
      <c r="G233" s="13">
        <v>312</v>
      </c>
      <c r="H233" s="13">
        <v>6010</v>
      </c>
      <c r="I233" s="13">
        <v>10063</v>
      </c>
      <c r="J233" s="15">
        <v>0</v>
      </c>
      <c r="K233" s="15">
        <v>0</v>
      </c>
      <c r="L233" s="13">
        <f t="shared" si="84"/>
        <v>244720</v>
      </c>
      <c r="M233" s="13">
        <f t="shared" si="81"/>
        <v>246161</v>
      </c>
      <c r="N233" s="13">
        <v>157307</v>
      </c>
      <c r="O233" s="13">
        <v>60412</v>
      </c>
      <c r="P233" s="13">
        <f t="shared" si="85"/>
        <v>96895</v>
      </c>
      <c r="Q233" s="13">
        <f t="shared" si="86"/>
        <v>341615</v>
      </c>
    </row>
    <row r="234" spans="1:17" ht="12.75" x14ac:dyDescent="0.2">
      <c r="A234" s="18" t="s">
        <v>78</v>
      </c>
      <c r="B234" s="13">
        <v>10634</v>
      </c>
      <c r="C234" s="13">
        <v>3151</v>
      </c>
      <c r="D234" s="13">
        <v>293503</v>
      </c>
      <c r="E234" s="13">
        <v>2226</v>
      </c>
      <c r="F234" s="13">
        <f t="shared" si="83"/>
        <v>305062</v>
      </c>
      <c r="G234" s="13">
        <v>274</v>
      </c>
      <c r="H234" s="13">
        <v>6010</v>
      </c>
      <c r="I234" s="13">
        <v>10063</v>
      </c>
      <c r="J234" s="15">
        <v>0</v>
      </c>
      <c r="K234" s="15">
        <v>0</v>
      </c>
      <c r="L234" s="13">
        <f t="shared" si="84"/>
        <v>321409</v>
      </c>
      <c r="M234" s="13">
        <f t="shared" si="81"/>
        <v>323635</v>
      </c>
      <c r="N234" s="13">
        <v>167150</v>
      </c>
      <c r="O234" s="13">
        <v>69258</v>
      </c>
      <c r="P234" s="13">
        <f t="shared" si="85"/>
        <v>97892</v>
      </c>
      <c r="Q234" s="13">
        <f t="shared" si="86"/>
        <v>419301</v>
      </c>
    </row>
    <row r="235" spans="1:17" ht="12.75" x14ac:dyDescent="0.2">
      <c r="A235" s="18" t="s">
        <v>88</v>
      </c>
      <c r="B235" s="13">
        <v>10677</v>
      </c>
      <c r="C235" s="13">
        <v>3164</v>
      </c>
      <c r="D235" s="13">
        <v>276536</v>
      </c>
      <c r="E235" s="13">
        <v>2297</v>
      </c>
      <c r="F235" s="13">
        <f t="shared" si="83"/>
        <v>288080</v>
      </c>
      <c r="G235" s="13">
        <v>161</v>
      </c>
      <c r="H235" s="13">
        <v>6010</v>
      </c>
      <c r="I235" s="13">
        <v>10063</v>
      </c>
      <c r="J235" s="15">
        <v>0</v>
      </c>
      <c r="K235" s="15">
        <v>0</v>
      </c>
      <c r="L235" s="13">
        <f t="shared" si="84"/>
        <v>304314</v>
      </c>
      <c r="M235" s="13">
        <f t="shared" si="81"/>
        <v>306611</v>
      </c>
      <c r="N235" s="13">
        <v>169338</v>
      </c>
      <c r="O235" s="13">
        <v>63312</v>
      </c>
      <c r="P235" s="13">
        <f t="shared" si="85"/>
        <v>106026</v>
      </c>
      <c r="Q235" s="13">
        <f t="shared" si="86"/>
        <v>410340</v>
      </c>
    </row>
    <row r="236" spans="1:17" ht="12.75" x14ac:dyDescent="0.2">
      <c r="A236" s="18" t="s">
        <v>89</v>
      </c>
      <c r="B236" s="13">
        <v>10580</v>
      </c>
      <c r="C236" s="13">
        <v>3248</v>
      </c>
      <c r="D236" s="13">
        <v>264314</v>
      </c>
      <c r="E236" s="13">
        <v>2973</v>
      </c>
      <c r="F236" s="13">
        <f t="shared" si="83"/>
        <v>275169</v>
      </c>
      <c r="G236" s="13">
        <v>153</v>
      </c>
      <c r="H236" s="13">
        <v>6010</v>
      </c>
      <c r="I236" s="13">
        <v>10063</v>
      </c>
      <c r="J236" s="15">
        <v>0</v>
      </c>
      <c r="K236" s="15">
        <v>0</v>
      </c>
      <c r="L236" s="13">
        <f t="shared" si="84"/>
        <v>291395</v>
      </c>
      <c r="M236" s="13">
        <f t="shared" si="81"/>
        <v>294368</v>
      </c>
      <c r="N236" s="13">
        <v>153882</v>
      </c>
      <c r="O236" s="13">
        <v>59177</v>
      </c>
      <c r="P236" s="13">
        <f t="shared" si="85"/>
        <v>94705</v>
      </c>
      <c r="Q236" s="13">
        <f t="shared" si="86"/>
        <v>386100</v>
      </c>
    </row>
    <row r="237" spans="1:17" ht="12.75" x14ac:dyDescent="0.2">
      <c r="A237" s="18" t="s">
        <v>79</v>
      </c>
      <c r="B237" s="13">
        <v>10507</v>
      </c>
      <c r="C237" s="13">
        <v>3225</v>
      </c>
      <c r="D237" s="13">
        <v>211938</v>
      </c>
      <c r="E237" s="13">
        <v>4227</v>
      </c>
      <c r="F237" s="13">
        <f t="shared" si="83"/>
        <v>221443</v>
      </c>
      <c r="G237" s="13">
        <v>157</v>
      </c>
      <c r="H237" s="13">
        <v>6010</v>
      </c>
      <c r="I237" s="13">
        <v>10063</v>
      </c>
      <c r="J237" s="15">
        <v>0</v>
      </c>
      <c r="K237" s="13">
        <v>14000</v>
      </c>
      <c r="L237" s="13">
        <f t="shared" si="84"/>
        <v>251673</v>
      </c>
      <c r="M237" s="13">
        <f t="shared" si="81"/>
        <v>255900</v>
      </c>
      <c r="N237" s="13">
        <v>154996</v>
      </c>
      <c r="O237" s="13">
        <v>66311</v>
      </c>
      <c r="P237" s="13">
        <f t="shared" si="85"/>
        <v>88685</v>
      </c>
      <c r="Q237" s="13">
        <f t="shared" si="86"/>
        <v>340358</v>
      </c>
    </row>
    <row r="238" spans="1:17" ht="12.75" x14ac:dyDescent="0.2">
      <c r="A238" s="18" t="s">
        <v>90</v>
      </c>
      <c r="B238" s="13">
        <v>10618</v>
      </c>
      <c r="C238" s="13">
        <v>3259</v>
      </c>
      <c r="D238" s="13">
        <v>198939</v>
      </c>
      <c r="E238" s="13">
        <v>1964</v>
      </c>
      <c r="F238" s="13">
        <f t="shared" si="83"/>
        <v>210852</v>
      </c>
      <c r="G238" s="13">
        <v>156</v>
      </c>
      <c r="H238" s="13">
        <v>6010</v>
      </c>
      <c r="I238" s="13">
        <v>10063</v>
      </c>
      <c r="J238" s="15">
        <v>0</v>
      </c>
      <c r="K238" s="13">
        <v>14000</v>
      </c>
      <c r="L238" s="13">
        <f t="shared" si="84"/>
        <v>241081</v>
      </c>
      <c r="M238" s="13">
        <f t="shared" si="81"/>
        <v>243045</v>
      </c>
      <c r="N238" s="13">
        <v>158496</v>
      </c>
      <c r="O238" s="13">
        <v>75189</v>
      </c>
      <c r="P238" s="13">
        <f t="shared" si="85"/>
        <v>83307</v>
      </c>
      <c r="Q238" s="13">
        <f t="shared" si="86"/>
        <v>324388</v>
      </c>
    </row>
    <row r="239" spans="1:17" ht="12.75" x14ac:dyDescent="0.2">
      <c r="A239" s="18" t="s">
        <v>91</v>
      </c>
      <c r="B239" s="13">
        <v>10866</v>
      </c>
      <c r="C239" s="13">
        <v>3441</v>
      </c>
      <c r="D239" s="13">
        <v>182734</v>
      </c>
      <c r="E239" s="13">
        <v>2078</v>
      </c>
      <c r="F239" s="13">
        <f t="shared" si="83"/>
        <v>194963</v>
      </c>
      <c r="G239" s="13">
        <v>152</v>
      </c>
      <c r="H239" s="13">
        <v>6010</v>
      </c>
      <c r="I239" s="13">
        <v>10063</v>
      </c>
      <c r="J239" s="15">
        <v>0</v>
      </c>
      <c r="K239" s="13">
        <v>14000</v>
      </c>
      <c r="L239" s="13">
        <f t="shared" si="84"/>
        <v>225188</v>
      </c>
      <c r="M239" s="13">
        <f t="shared" si="81"/>
        <v>227266</v>
      </c>
      <c r="N239" s="13">
        <v>155340</v>
      </c>
      <c r="O239" s="13">
        <v>85371</v>
      </c>
      <c r="P239" s="13">
        <f t="shared" si="85"/>
        <v>69969</v>
      </c>
      <c r="Q239" s="13">
        <f t="shared" si="86"/>
        <v>295157</v>
      </c>
    </row>
    <row r="240" spans="1:17" ht="12.75" x14ac:dyDescent="0.2">
      <c r="A240" s="18" t="s">
        <v>80</v>
      </c>
      <c r="B240" s="13">
        <v>10873</v>
      </c>
      <c r="C240" s="13">
        <v>3443</v>
      </c>
      <c r="D240" s="13">
        <v>195415</v>
      </c>
      <c r="E240" s="13">
        <v>2108</v>
      </c>
      <c r="F240" s="13">
        <f t="shared" si="83"/>
        <v>207623</v>
      </c>
      <c r="G240" s="13">
        <v>146</v>
      </c>
      <c r="H240" s="13">
        <v>6010</v>
      </c>
      <c r="I240" s="13">
        <v>10063</v>
      </c>
      <c r="J240" s="15">
        <v>0</v>
      </c>
      <c r="K240" s="13">
        <v>14000</v>
      </c>
      <c r="L240" s="13">
        <f t="shared" si="84"/>
        <v>237842</v>
      </c>
      <c r="M240" s="13">
        <f t="shared" si="81"/>
        <v>239950</v>
      </c>
      <c r="N240" s="13">
        <v>142188</v>
      </c>
      <c r="O240" s="13">
        <v>89493</v>
      </c>
      <c r="P240" s="13">
        <f t="shared" si="85"/>
        <v>52695</v>
      </c>
      <c r="Q240" s="13">
        <f t="shared" si="86"/>
        <v>290537</v>
      </c>
    </row>
    <row r="241" spans="1:17" ht="12.75" x14ac:dyDescent="0.2">
      <c r="A241" s="18" t="s">
        <v>92</v>
      </c>
      <c r="B241" s="13">
        <v>10781</v>
      </c>
      <c r="C241" s="13">
        <v>3414</v>
      </c>
      <c r="D241" s="13">
        <v>175717</v>
      </c>
      <c r="E241" s="13">
        <v>3502</v>
      </c>
      <c r="F241" s="13">
        <f t="shared" si="83"/>
        <v>186410</v>
      </c>
      <c r="G241" s="13">
        <v>142</v>
      </c>
      <c r="H241" s="13">
        <v>6010</v>
      </c>
      <c r="I241" s="13">
        <v>10063</v>
      </c>
      <c r="J241" s="15">
        <v>0</v>
      </c>
      <c r="K241" s="13">
        <v>14000</v>
      </c>
      <c r="L241" s="13">
        <f t="shared" si="84"/>
        <v>216625</v>
      </c>
      <c r="M241" s="13">
        <f t="shared" si="81"/>
        <v>220127</v>
      </c>
      <c r="N241" s="13">
        <v>122274</v>
      </c>
      <c r="O241" s="13">
        <v>77707</v>
      </c>
      <c r="P241" s="13">
        <f t="shared" si="85"/>
        <v>44567</v>
      </c>
      <c r="Q241" s="13">
        <f t="shared" si="86"/>
        <v>261192</v>
      </c>
    </row>
    <row r="242" spans="1:17" ht="12.75" x14ac:dyDescent="0.2">
      <c r="A242" s="18" t="s">
        <v>93</v>
      </c>
      <c r="B242" s="13">
        <v>10680</v>
      </c>
      <c r="C242" s="13">
        <v>3443</v>
      </c>
      <c r="D242" s="13">
        <v>153907</v>
      </c>
      <c r="E242" s="13">
        <v>3465</v>
      </c>
      <c r="F242" s="13">
        <f t="shared" si="83"/>
        <v>164565</v>
      </c>
      <c r="G242" s="13">
        <v>138</v>
      </c>
      <c r="H242" s="13">
        <v>6010</v>
      </c>
      <c r="I242" s="13">
        <v>10063</v>
      </c>
      <c r="J242" s="15">
        <v>0</v>
      </c>
      <c r="K242" s="13">
        <v>14000</v>
      </c>
      <c r="L242" s="13">
        <f t="shared" si="84"/>
        <v>194776</v>
      </c>
      <c r="M242" s="13">
        <f t="shared" si="81"/>
        <v>198241</v>
      </c>
      <c r="N242" s="13">
        <v>126227</v>
      </c>
      <c r="O242" s="13">
        <v>81326</v>
      </c>
      <c r="P242" s="13">
        <f t="shared" si="85"/>
        <v>44901</v>
      </c>
      <c r="Q242" s="13">
        <f t="shared" si="86"/>
        <v>239677</v>
      </c>
    </row>
    <row r="243" spans="1:17" ht="12.75" x14ac:dyDescent="0.2">
      <c r="A243" s="18" t="s">
        <v>81</v>
      </c>
      <c r="B243" s="13">
        <v>10591</v>
      </c>
      <c r="C243" s="13">
        <v>3441</v>
      </c>
      <c r="D243" s="13">
        <v>194370</v>
      </c>
      <c r="E243" s="13">
        <v>2936</v>
      </c>
      <c r="F243" s="13">
        <f t="shared" si="83"/>
        <v>205466</v>
      </c>
      <c r="G243" s="13">
        <v>130</v>
      </c>
      <c r="H243" s="13">
        <v>6398</v>
      </c>
      <c r="I243" s="13">
        <v>11262</v>
      </c>
      <c r="J243" s="15">
        <v>0</v>
      </c>
      <c r="K243" s="13">
        <v>14000</v>
      </c>
      <c r="L243" s="13">
        <f t="shared" si="84"/>
        <v>237256</v>
      </c>
      <c r="M243" s="13">
        <f t="shared" si="81"/>
        <v>240192</v>
      </c>
      <c r="N243" s="13">
        <v>133739</v>
      </c>
      <c r="O243" s="13">
        <v>76773</v>
      </c>
      <c r="P243" s="13">
        <f t="shared" si="85"/>
        <v>56966</v>
      </c>
      <c r="Q243" s="13">
        <f t="shared" si="86"/>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87">B245+C245+D245-E245</f>
        <v>227010</v>
      </c>
      <c r="G245" s="13">
        <v>107</v>
      </c>
      <c r="H245" s="13">
        <v>4176</v>
      </c>
      <c r="I245" s="13">
        <v>11300</v>
      </c>
      <c r="J245" s="15">
        <v>0</v>
      </c>
      <c r="K245" s="13">
        <v>14000</v>
      </c>
      <c r="L245" s="13">
        <f t="shared" ref="L245:L269" si="88">SUM(F245:K245)</f>
        <v>256593</v>
      </c>
      <c r="M245" s="13">
        <f t="shared" si="81"/>
        <v>262091</v>
      </c>
      <c r="N245" s="13">
        <v>144043</v>
      </c>
      <c r="O245" s="13">
        <v>77871</v>
      </c>
      <c r="P245" s="13">
        <f t="shared" ref="P245:P256" si="89">N245-O245</f>
        <v>66172</v>
      </c>
      <c r="Q245" s="13">
        <f t="shared" ref="Q245:Q256" si="90">L245+P245</f>
        <v>322765</v>
      </c>
    </row>
    <row r="246" spans="1:17" ht="12.75" x14ac:dyDescent="0.2">
      <c r="A246" s="18" t="s">
        <v>87</v>
      </c>
      <c r="B246" s="13">
        <v>10473</v>
      </c>
      <c r="C246" s="13">
        <v>2604</v>
      </c>
      <c r="D246" s="13">
        <v>180556</v>
      </c>
      <c r="E246" s="13">
        <v>5355</v>
      </c>
      <c r="F246" s="13">
        <f t="shared" si="87"/>
        <v>188278</v>
      </c>
      <c r="G246" s="13">
        <v>252</v>
      </c>
      <c r="H246" s="13">
        <v>4186</v>
      </c>
      <c r="I246" s="13">
        <v>11410</v>
      </c>
      <c r="J246" s="15">
        <v>0</v>
      </c>
      <c r="K246" s="13">
        <v>14000</v>
      </c>
      <c r="L246" s="13">
        <f t="shared" si="88"/>
        <v>218126</v>
      </c>
      <c r="M246" s="13">
        <f t="shared" si="81"/>
        <v>223481</v>
      </c>
      <c r="N246" s="13">
        <v>143030</v>
      </c>
      <c r="O246" s="13">
        <v>91046</v>
      </c>
      <c r="P246" s="13">
        <f t="shared" si="89"/>
        <v>51984</v>
      </c>
      <c r="Q246" s="13">
        <f t="shared" si="90"/>
        <v>270110</v>
      </c>
    </row>
    <row r="247" spans="1:17" ht="12.75" x14ac:dyDescent="0.2">
      <c r="A247" s="18" t="s">
        <v>78</v>
      </c>
      <c r="B247" s="13">
        <v>10517</v>
      </c>
      <c r="C247" s="13">
        <v>3482</v>
      </c>
      <c r="D247" s="13">
        <v>152717</v>
      </c>
      <c r="E247" s="13">
        <v>3049</v>
      </c>
      <c r="F247" s="13">
        <f t="shared" si="87"/>
        <v>163667</v>
      </c>
      <c r="G247" s="13">
        <v>247</v>
      </c>
      <c r="H247" s="13">
        <v>4174</v>
      </c>
      <c r="I247" s="13">
        <v>11166</v>
      </c>
      <c r="J247" s="15">
        <v>0</v>
      </c>
      <c r="K247" s="13">
        <v>14000</v>
      </c>
      <c r="L247" s="13">
        <f t="shared" si="88"/>
        <v>193254</v>
      </c>
      <c r="M247" s="13">
        <f t="shared" si="81"/>
        <v>196303</v>
      </c>
      <c r="N247" s="13">
        <v>163631</v>
      </c>
      <c r="O247" s="13">
        <v>88554</v>
      </c>
      <c r="P247" s="13">
        <f t="shared" si="89"/>
        <v>75077</v>
      </c>
      <c r="Q247" s="13">
        <f t="shared" si="90"/>
        <v>268331</v>
      </c>
    </row>
    <row r="248" spans="1:17" ht="12.75" x14ac:dyDescent="0.2">
      <c r="A248" s="18" t="s">
        <v>88</v>
      </c>
      <c r="B248" s="13">
        <v>10693</v>
      </c>
      <c r="C248" s="13">
        <v>3540</v>
      </c>
      <c r="D248" s="13">
        <v>197105</v>
      </c>
      <c r="E248" s="13">
        <v>3038</v>
      </c>
      <c r="F248" s="13">
        <f t="shared" si="87"/>
        <v>208300</v>
      </c>
      <c r="G248" s="13">
        <v>199</v>
      </c>
      <c r="H248" s="13">
        <v>4196</v>
      </c>
      <c r="I248" s="13">
        <v>11352</v>
      </c>
      <c r="J248" s="15">
        <v>0</v>
      </c>
      <c r="K248" s="13">
        <v>26000</v>
      </c>
      <c r="L248" s="13">
        <f t="shared" si="88"/>
        <v>250047</v>
      </c>
      <c r="M248" s="13">
        <f t="shared" si="81"/>
        <v>253085</v>
      </c>
      <c r="N248" s="13">
        <v>147258</v>
      </c>
      <c r="O248" s="13">
        <v>88126</v>
      </c>
      <c r="P248" s="13">
        <f t="shared" si="89"/>
        <v>59132</v>
      </c>
      <c r="Q248" s="13">
        <f t="shared" si="90"/>
        <v>309179</v>
      </c>
    </row>
    <row r="249" spans="1:17" ht="12.75" x14ac:dyDescent="0.2">
      <c r="A249" s="18" t="s">
        <v>89</v>
      </c>
      <c r="B249" s="13">
        <v>10887</v>
      </c>
      <c r="C249" s="13">
        <v>3670</v>
      </c>
      <c r="D249" s="13">
        <v>174503</v>
      </c>
      <c r="E249" s="13">
        <v>2028</v>
      </c>
      <c r="F249" s="13">
        <f t="shared" si="87"/>
        <v>187032</v>
      </c>
      <c r="G249" s="13">
        <v>202</v>
      </c>
      <c r="H249" s="13">
        <v>4210</v>
      </c>
      <c r="I249" s="13">
        <v>11414</v>
      </c>
      <c r="J249" s="15">
        <v>0</v>
      </c>
      <c r="K249" s="13">
        <v>26000</v>
      </c>
      <c r="L249" s="13">
        <f t="shared" si="88"/>
        <v>228858</v>
      </c>
      <c r="M249" s="13">
        <f t="shared" si="81"/>
        <v>230886</v>
      </c>
      <c r="N249" s="13">
        <v>135321</v>
      </c>
      <c r="O249" s="13">
        <v>95585</v>
      </c>
      <c r="P249" s="13">
        <f t="shared" si="89"/>
        <v>39736</v>
      </c>
      <c r="Q249" s="13">
        <f t="shared" si="90"/>
        <v>268594</v>
      </c>
    </row>
    <row r="250" spans="1:17" ht="12.75" x14ac:dyDescent="0.2">
      <c r="A250" s="18" t="s">
        <v>79</v>
      </c>
      <c r="B250" s="13">
        <v>11223</v>
      </c>
      <c r="C250" s="13">
        <v>3783</v>
      </c>
      <c r="D250" s="13">
        <v>138916</v>
      </c>
      <c r="E250" s="13">
        <v>2151</v>
      </c>
      <c r="F250" s="13">
        <f t="shared" si="87"/>
        <v>151771</v>
      </c>
      <c r="G250" s="13">
        <v>203</v>
      </c>
      <c r="H250" s="13">
        <v>4242</v>
      </c>
      <c r="I250" s="13">
        <v>11566</v>
      </c>
      <c r="J250" s="15">
        <v>0</v>
      </c>
      <c r="K250" s="13">
        <v>26000</v>
      </c>
      <c r="L250" s="13">
        <f t="shared" si="88"/>
        <v>193782</v>
      </c>
      <c r="M250" s="13">
        <f t="shared" si="81"/>
        <v>195933</v>
      </c>
      <c r="N250" s="13">
        <v>133892</v>
      </c>
      <c r="O250" s="13">
        <v>87847</v>
      </c>
      <c r="P250" s="13">
        <f t="shared" si="89"/>
        <v>46045</v>
      </c>
      <c r="Q250" s="13">
        <f t="shared" si="90"/>
        <v>239827</v>
      </c>
    </row>
    <row r="251" spans="1:17" ht="12.75" x14ac:dyDescent="0.2">
      <c r="A251" s="18" t="s">
        <v>90</v>
      </c>
      <c r="B251" s="13">
        <v>11155</v>
      </c>
      <c r="C251" s="13">
        <v>3760</v>
      </c>
      <c r="D251" s="13">
        <v>122222</v>
      </c>
      <c r="E251" s="13">
        <v>1750</v>
      </c>
      <c r="F251" s="13">
        <f t="shared" si="87"/>
        <v>135387</v>
      </c>
      <c r="G251" s="13">
        <v>211</v>
      </c>
      <c r="H251" s="13">
        <v>4266</v>
      </c>
      <c r="I251" s="13">
        <v>11768</v>
      </c>
      <c r="J251" s="15">
        <v>0</v>
      </c>
      <c r="K251" s="13">
        <v>26000</v>
      </c>
      <c r="L251" s="13">
        <f t="shared" si="88"/>
        <v>177632</v>
      </c>
      <c r="M251" s="13">
        <f t="shared" si="81"/>
        <v>179382</v>
      </c>
      <c r="N251" s="13">
        <v>166434</v>
      </c>
      <c r="O251" s="13">
        <v>124986</v>
      </c>
      <c r="P251" s="13">
        <f t="shared" si="89"/>
        <v>41448</v>
      </c>
      <c r="Q251" s="13">
        <f t="shared" si="90"/>
        <v>219080</v>
      </c>
    </row>
    <row r="252" spans="1:17" ht="12.75" x14ac:dyDescent="0.2">
      <c r="A252" s="18" t="s">
        <v>91</v>
      </c>
      <c r="B252" s="13">
        <v>11198</v>
      </c>
      <c r="C252" s="13">
        <v>3853</v>
      </c>
      <c r="D252" s="13">
        <v>188123</v>
      </c>
      <c r="E252" s="13">
        <v>1834</v>
      </c>
      <c r="F252" s="13">
        <f t="shared" si="87"/>
        <v>201340</v>
      </c>
      <c r="G252" s="13">
        <v>208</v>
      </c>
      <c r="H252" s="13">
        <v>4280</v>
      </c>
      <c r="I252" s="13">
        <v>12052</v>
      </c>
      <c r="J252" s="15">
        <v>0</v>
      </c>
      <c r="K252" s="13">
        <v>18000</v>
      </c>
      <c r="L252" s="13">
        <f t="shared" si="88"/>
        <v>235880</v>
      </c>
      <c r="M252" s="13">
        <f t="shared" si="81"/>
        <v>237714</v>
      </c>
      <c r="N252" s="13">
        <v>121928</v>
      </c>
      <c r="O252" s="13">
        <v>83311</v>
      </c>
      <c r="P252" s="13">
        <f t="shared" si="89"/>
        <v>38617</v>
      </c>
      <c r="Q252" s="13">
        <f t="shared" si="90"/>
        <v>274497</v>
      </c>
    </row>
    <row r="253" spans="1:17" ht="12.75" x14ac:dyDescent="0.2">
      <c r="A253" s="18" t="s">
        <v>80</v>
      </c>
      <c r="B253" s="13">
        <v>11157</v>
      </c>
      <c r="C253" s="13">
        <v>3839</v>
      </c>
      <c r="D253" s="13">
        <v>180418</v>
      </c>
      <c r="E253" s="13">
        <v>1467</v>
      </c>
      <c r="F253" s="13">
        <f t="shared" si="87"/>
        <v>193947</v>
      </c>
      <c r="G253" s="13">
        <v>210</v>
      </c>
      <c r="H253" s="13">
        <v>4296</v>
      </c>
      <c r="I253" s="13">
        <v>12308</v>
      </c>
      <c r="J253" s="15">
        <v>0</v>
      </c>
      <c r="K253" s="13">
        <v>12000</v>
      </c>
      <c r="L253" s="13">
        <f t="shared" si="88"/>
        <v>222761</v>
      </c>
      <c r="M253" s="13">
        <f t="shared" si="81"/>
        <v>224228</v>
      </c>
      <c r="N253" s="13">
        <v>116602</v>
      </c>
      <c r="O253" s="13">
        <v>93096</v>
      </c>
      <c r="P253" s="13">
        <f t="shared" si="89"/>
        <v>23506</v>
      </c>
      <c r="Q253" s="13">
        <f t="shared" si="90"/>
        <v>246267</v>
      </c>
    </row>
    <row r="254" spans="1:17" ht="12.75" x14ac:dyDescent="0.2">
      <c r="A254" s="18" t="s">
        <v>92</v>
      </c>
      <c r="B254" s="13">
        <v>11148</v>
      </c>
      <c r="C254" s="13">
        <v>3836</v>
      </c>
      <c r="D254" s="13">
        <v>140823</v>
      </c>
      <c r="E254" s="13">
        <v>2092</v>
      </c>
      <c r="F254" s="13">
        <f t="shared" si="87"/>
        <v>153715</v>
      </c>
      <c r="G254" s="13">
        <v>203</v>
      </c>
      <c r="H254" s="13">
        <v>4300</v>
      </c>
      <c r="I254" s="13">
        <v>12134</v>
      </c>
      <c r="J254" s="15">
        <v>0</v>
      </c>
      <c r="K254" s="13">
        <v>12000</v>
      </c>
      <c r="L254" s="13">
        <f t="shared" si="88"/>
        <v>182352</v>
      </c>
      <c r="M254" s="13">
        <f t="shared" si="81"/>
        <v>184444</v>
      </c>
      <c r="N254" s="13">
        <v>105081</v>
      </c>
      <c r="O254" s="13">
        <v>75617</v>
      </c>
      <c r="P254" s="13">
        <f t="shared" si="89"/>
        <v>29464</v>
      </c>
      <c r="Q254" s="13">
        <f t="shared" si="90"/>
        <v>211816</v>
      </c>
    </row>
    <row r="255" spans="1:17" ht="12.75" x14ac:dyDescent="0.2">
      <c r="A255" s="18" t="s">
        <v>93</v>
      </c>
      <c r="B255" s="13">
        <v>11175</v>
      </c>
      <c r="C255" s="13">
        <v>3915</v>
      </c>
      <c r="D255" s="13">
        <v>128518</v>
      </c>
      <c r="E255" s="13">
        <v>1450</v>
      </c>
      <c r="F255" s="13">
        <f t="shared" si="87"/>
        <v>142158</v>
      </c>
      <c r="G255" s="13">
        <v>196</v>
      </c>
      <c r="H255" s="13">
        <v>4300</v>
      </c>
      <c r="I255" s="13">
        <v>12046</v>
      </c>
      <c r="J255" s="15">
        <v>0</v>
      </c>
      <c r="K255" s="13">
        <v>7000</v>
      </c>
      <c r="L255" s="13">
        <f t="shared" si="88"/>
        <v>165700</v>
      </c>
      <c r="M255" s="13">
        <f t="shared" si="81"/>
        <v>167150</v>
      </c>
      <c r="N255" s="13">
        <v>106961</v>
      </c>
      <c r="O255" s="13">
        <v>86497</v>
      </c>
      <c r="P255" s="13">
        <f t="shared" si="89"/>
        <v>20464</v>
      </c>
      <c r="Q255" s="13">
        <f t="shared" si="90"/>
        <v>186164</v>
      </c>
    </row>
    <row r="256" spans="1:17" ht="12.75" x14ac:dyDescent="0.2">
      <c r="A256" s="18" t="s">
        <v>81</v>
      </c>
      <c r="B256" s="13">
        <v>11428</v>
      </c>
      <c r="C256" s="13">
        <v>4003</v>
      </c>
      <c r="D256" s="13">
        <v>197089</v>
      </c>
      <c r="E256" s="13">
        <v>5986</v>
      </c>
      <c r="F256" s="13">
        <f t="shared" si="87"/>
        <v>206534</v>
      </c>
      <c r="G256" s="13">
        <v>173</v>
      </c>
      <c r="H256" s="13">
        <v>4330</v>
      </c>
      <c r="I256" s="13">
        <v>12318</v>
      </c>
      <c r="J256" s="15">
        <v>0</v>
      </c>
      <c r="K256" s="15">
        <v>0</v>
      </c>
      <c r="L256" s="13">
        <f t="shared" si="88"/>
        <v>223355</v>
      </c>
      <c r="M256" s="13">
        <f t="shared" si="81"/>
        <v>229341</v>
      </c>
      <c r="N256" s="13">
        <v>113469</v>
      </c>
      <c r="O256" s="13">
        <v>80521</v>
      </c>
      <c r="P256" s="13">
        <f t="shared" si="89"/>
        <v>32948</v>
      </c>
      <c r="Q256" s="13">
        <f t="shared" si="90"/>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1">B258+C258+D258-E258</f>
        <v>200194</v>
      </c>
      <c r="G258" s="13">
        <v>175</v>
      </c>
      <c r="H258" s="13">
        <v>4330</v>
      </c>
      <c r="I258" s="13">
        <v>12198</v>
      </c>
      <c r="J258" s="15">
        <v>0</v>
      </c>
      <c r="K258" s="15">
        <v>0</v>
      </c>
      <c r="L258" s="13">
        <f t="shared" si="88"/>
        <v>216897</v>
      </c>
      <c r="M258" s="13">
        <f t="shared" si="81"/>
        <v>219134</v>
      </c>
      <c r="N258" s="13">
        <v>129758</v>
      </c>
      <c r="O258" s="13">
        <v>81580</v>
      </c>
      <c r="P258" s="13">
        <f t="shared" ref="P258:P269" si="92">N258-O258</f>
        <v>48178</v>
      </c>
      <c r="Q258" s="13">
        <f t="shared" ref="Q258:Q269" si="93">L258+P258</f>
        <v>265075</v>
      </c>
    </row>
    <row r="259" spans="1:17" ht="12.75" x14ac:dyDescent="0.2">
      <c r="A259" s="18" t="s">
        <v>87</v>
      </c>
      <c r="B259" s="13">
        <v>11563</v>
      </c>
      <c r="C259" s="13">
        <v>4114</v>
      </c>
      <c r="D259" s="13">
        <v>156537</v>
      </c>
      <c r="E259" s="13">
        <v>1802</v>
      </c>
      <c r="F259" s="13">
        <f t="shared" si="91"/>
        <v>170412</v>
      </c>
      <c r="G259" s="13">
        <v>173</v>
      </c>
      <c r="H259" s="13">
        <v>4330</v>
      </c>
      <c r="I259" s="13">
        <v>12198</v>
      </c>
      <c r="J259" s="15">
        <v>0</v>
      </c>
      <c r="K259" s="15">
        <v>0</v>
      </c>
      <c r="L259" s="13">
        <f t="shared" si="88"/>
        <v>187113</v>
      </c>
      <c r="M259" s="13">
        <f t="shared" si="81"/>
        <v>188915</v>
      </c>
      <c r="N259" s="13">
        <v>139235</v>
      </c>
      <c r="O259" s="13">
        <v>75708</v>
      </c>
      <c r="P259" s="13">
        <f t="shared" si="92"/>
        <v>63527</v>
      </c>
      <c r="Q259" s="13">
        <f t="shared" si="93"/>
        <v>250640</v>
      </c>
    </row>
    <row r="260" spans="1:17" ht="12.75" x14ac:dyDescent="0.2">
      <c r="A260" s="18" t="s">
        <v>78</v>
      </c>
      <c r="B260" s="13">
        <v>11588</v>
      </c>
      <c r="C260" s="13">
        <v>4123</v>
      </c>
      <c r="D260" s="13">
        <v>122070</v>
      </c>
      <c r="E260" s="13">
        <v>1835</v>
      </c>
      <c r="F260" s="13">
        <f t="shared" si="91"/>
        <v>135946</v>
      </c>
      <c r="G260" s="13">
        <v>160</v>
      </c>
      <c r="H260" s="13">
        <v>4348</v>
      </c>
      <c r="I260" s="13">
        <v>12264</v>
      </c>
      <c r="J260" s="15">
        <v>0</v>
      </c>
      <c r="K260" s="13">
        <v>9118</v>
      </c>
      <c r="L260" s="13">
        <f t="shared" si="88"/>
        <v>161836</v>
      </c>
      <c r="M260" s="13">
        <f t="shared" si="81"/>
        <v>163671</v>
      </c>
      <c r="N260" s="13">
        <v>142278</v>
      </c>
      <c r="O260" s="13">
        <v>80133</v>
      </c>
      <c r="P260" s="13">
        <f t="shared" si="92"/>
        <v>62145</v>
      </c>
      <c r="Q260" s="13">
        <f t="shared" si="93"/>
        <v>223981</v>
      </c>
    </row>
    <row r="261" spans="1:17" ht="12.75" x14ac:dyDescent="0.2">
      <c r="A261" s="18" t="s">
        <v>88</v>
      </c>
      <c r="B261" s="13">
        <v>11673</v>
      </c>
      <c r="C261" s="13">
        <v>4153</v>
      </c>
      <c r="D261" s="13">
        <v>113320</v>
      </c>
      <c r="E261" s="13">
        <v>3103</v>
      </c>
      <c r="F261" s="13">
        <f t="shared" si="91"/>
        <v>126043</v>
      </c>
      <c r="G261" s="13">
        <v>167</v>
      </c>
      <c r="H261" s="13">
        <v>4348</v>
      </c>
      <c r="I261" s="13">
        <v>12264</v>
      </c>
      <c r="J261" s="15">
        <v>0</v>
      </c>
      <c r="K261" s="15">
        <v>0</v>
      </c>
      <c r="L261" s="13">
        <f t="shared" si="88"/>
        <v>142822</v>
      </c>
      <c r="M261" s="13">
        <f t="shared" si="81"/>
        <v>145925</v>
      </c>
      <c r="N261" s="13">
        <v>124816</v>
      </c>
      <c r="O261" s="13">
        <v>76941</v>
      </c>
      <c r="P261" s="13">
        <f t="shared" si="92"/>
        <v>47875</v>
      </c>
      <c r="Q261" s="13">
        <f t="shared" si="93"/>
        <v>190697</v>
      </c>
    </row>
    <row r="262" spans="1:17" ht="12.75" x14ac:dyDescent="0.2">
      <c r="A262" s="18" t="s">
        <v>89</v>
      </c>
      <c r="B262" s="13">
        <v>11978</v>
      </c>
      <c r="C262" s="13">
        <v>4319</v>
      </c>
      <c r="D262" s="13">
        <v>126591</v>
      </c>
      <c r="E262" s="13">
        <v>3560</v>
      </c>
      <c r="F262" s="13">
        <f t="shared" si="91"/>
        <v>139328</v>
      </c>
      <c r="G262" s="13">
        <v>170</v>
      </c>
      <c r="H262" s="13">
        <v>4348</v>
      </c>
      <c r="I262" s="13">
        <v>12264</v>
      </c>
      <c r="J262" s="15">
        <v>0</v>
      </c>
      <c r="K262" s="15">
        <v>0</v>
      </c>
      <c r="L262" s="13">
        <f t="shared" si="88"/>
        <v>156110</v>
      </c>
      <c r="M262" s="13">
        <f t="shared" si="81"/>
        <v>159670</v>
      </c>
      <c r="N262" s="13">
        <v>118607</v>
      </c>
      <c r="O262" s="13">
        <v>76204</v>
      </c>
      <c r="P262" s="13">
        <f t="shared" si="92"/>
        <v>42403</v>
      </c>
      <c r="Q262" s="13">
        <f t="shared" si="93"/>
        <v>198513</v>
      </c>
    </row>
    <row r="263" spans="1:17" ht="12.75" x14ac:dyDescent="0.2">
      <c r="A263" s="18" t="s">
        <v>79</v>
      </c>
      <c r="B263" s="13">
        <v>11817</v>
      </c>
      <c r="C263" s="13">
        <v>4261</v>
      </c>
      <c r="D263" s="13">
        <v>207312</v>
      </c>
      <c r="E263" s="13">
        <v>3529</v>
      </c>
      <c r="F263" s="13">
        <f t="shared" si="91"/>
        <v>219861</v>
      </c>
      <c r="G263" s="13">
        <v>177</v>
      </c>
      <c r="H263" s="13">
        <v>4348</v>
      </c>
      <c r="I263" s="13">
        <v>12264</v>
      </c>
      <c r="J263" s="15">
        <v>0</v>
      </c>
      <c r="K263" s="15">
        <v>0</v>
      </c>
      <c r="L263" s="13">
        <f t="shared" si="88"/>
        <v>236650</v>
      </c>
      <c r="M263" s="13">
        <f t="shared" si="81"/>
        <v>240179</v>
      </c>
      <c r="N263" s="13">
        <v>111631</v>
      </c>
      <c r="O263" s="13">
        <v>84312</v>
      </c>
      <c r="P263" s="13">
        <f t="shared" si="92"/>
        <v>27319</v>
      </c>
      <c r="Q263" s="13">
        <f t="shared" si="93"/>
        <v>263969</v>
      </c>
    </row>
    <row r="264" spans="1:17" ht="12.75" x14ac:dyDescent="0.2">
      <c r="A264" s="18" t="s">
        <v>90</v>
      </c>
      <c r="B264" s="13">
        <v>11741</v>
      </c>
      <c r="C264" s="13">
        <v>4233</v>
      </c>
      <c r="D264" s="13">
        <v>198356</v>
      </c>
      <c r="E264" s="13">
        <v>3825</v>
      </c>
      <c r="F264" s="13">
        <f t="shared" si="91"/>
        <v>210505</v>
      </c>
      <c r="G264" s="13">
        <v>168</v>
      </c>
      <c r="H264" s="13">
        <v>4348</v>
      </c>
      <c r="I264" s="13">
        <v>12264</v>
      </c>
      <c r="J264" s="15">
        <v>0</v>
      </c>
      <c r="K264" s="15">
        <v>0</v>
      </c>
      <c r="L264" s="13">
        <f t="shared" si="88"/>
        <v>227285</v>
      </c>
      <c r="M264" s="13">
        <f t="shared" si="81"/>
        <v>231110</v>
      </c>
      <c r="N264" s="13">
        <v>111595</v>
      </c>
      <c r="O264" s="13">
        <v>77859</v>
      </c>
      <c r="P264" s="13">
        <f t="shared" si="92"/>
        <v>33736</v>
      </c>
      <c r="Q264" s="13">
        <f t="shared" si="93"/>
        <v>261021</v>
      </c>
    </row>
    <row r="265" spans="1:17" ht="12.75" x14ac:dyDescent="0.2">
      <c r="A265" s="18" t="s">
        <v>91</v>
      </c>
      <c r="B265" s="13">
        <v>11618</v>
      </c>
      <c r="C265" s="13">
        <v>4241</v>
      </c>
      <c r="D265" s="13">
        <v>162588</v>
      </c>
      <c r="E265" s="13">
        <v>5540</v>
      </c>
      <c r="F265" s="13">
        <f t="shared" si="91"/>
        <v>172907</v>
      </c>
      <c r="G265" s="13">
        <v>163</v>
      </c>
      <c r="H265" s="13">
        <v>4348</v>
      </c>
      <c r="I265" s="13">
        <v>12264</v>
      </c>
      <c r="J265" s="15">
        <v>0</v>
      </c>
      <c r="K265" s="15">
        <v>0</v>
      </c>
      <c r="L265" s="13">
        <f t="shared" si="88"/>
        <v>189682</v>
      </c>
      <c r="M265" s="13">
        <f t="shared" si="81"/>
        <v>195222</v>
      </c>
      <c r="N265" s="13">
        <v>105301</v>
      </c>
      <c r="O265" s="13">
        <v>83878</v>
      </c>
      <c r="P265" s="13">
        <f t="shared" si="92"/>
        <v>21423</v>
      </c>
      <c r="Q265" s="13">
        <f t="shared" si="93"/>
        <v>211105</v>
      </c>
    </row>
    <row r="266" spans="1:17" ht="12.75" x14ac:dyDescent="0.2">
      <c r="A266" s="18" t="s">
        <v>80</v>
      </c>
      <c r="B266" s="13">
        <v>12061</v>
      </c>
      <c r="C266" s="13">
        <v>4403</v>
      </c>
      <c r="D266" s="13">
        <v>123805</v>
      </c>
      <c r="E266" s="13">
        <v>5545</v>
      </c>
      <c r="F266" s="13">
        <f t="shared" si="91"/>
        <v>134724</v>
      </c>
      <c r="G266" s="13">
        <v>163</v>
      </c>
      <c r="H266" s="13">
        <v>4348</v>
      </c>
      <c r="I266" s="13">
        <v>12264</v>
      </c>
      <c r="J266" s="15">
        <v>0</v>
      </c>
      <c r="K266" s="15">
        <v>0</v>
      </c>
      <c r="L266" s="13">
        <f t="shared" si="88"/>
        <v>151499</v>
      </c>
      <c r="M266" s="13">
        <f t="shared" si="81"/>
        <v>157044</v>
      </c>
      <c r="N266" s="13">
        <v>104944</v>
      </c>
      <c r="O266" s="13">
        <v>107078</v>
      </c>
      <c r="P266" s="13">
        <f t="shared" si="92"/>
        <v>-2134</v>
      </c>
      <c r="Q266" s="13">
        <f t="shared" si="93"/>
        <v>149365</v>
      </c>
    </row>
    <row r="267" spans="1:17" ht="12.75" x14ac:dyDescent="0.2">
      <c r="A267" s="18" t="s">
        <v>92</v>
      </c>
      <c r="B267" s="13">
        <v>12077</v>
      </c>
      <c r="C267" s="13">
        <v>4409</v>
      </c>
      <c r="D267" s="13">
        <v>124533</v>
      </c>
      <c r="E267" s="13">
        <v>5346</v>
      </c>
      <c r="F267" s="13">
        <f t="shared" si="91"/>
        <v>135673</v>
      </c>
      <c r="G267" s="13">
        <v>163</v>
      </c>
      <c r="H267" s="13">
        <v>4348</v>
      </c>
      <c r="I267" s="13">
        <v>12264</v>
      </c>
      <c r="J267" s="15">
        <v>0</v>
      </c>
      <c r="K267" s="15">
        <v>0</v>
      </c>
      <c r="L267" s="13">
        <f t="shared" si="88"/>
        <v>152448</v>
      </c>
      <c r="M267" s="13">
        <f t="shared" si="81"/>
        <v>157794</v>
      </c>
      <c r="N267" s="13">
        <v>95616</v>
      </c>
      <c r="O267" s="13">
        <v>131448</v>
      </c>
      <c r="P267" s="13">
        <f t="shared" si="92"/>
        <v>-35832</v>
      </c>
      <c r="Q267" s="13">
        <f t="shared" si="93"/>
        <v>116616</v>
      </c>
    </row>
    <row r="268" spans="1:17" ht="12.75" x14ac:dyDescent="0.2">
      <c r="A268" s="18" t="s">
        <v>93</v>
      </c>
      <c r="B268" s="13">
        <v>12143</v>
      </c>
      <c r="C268" s="13">
        <v>4486</v>
      </c>
      <c r="D268" s="13">
        <v>185661</v>
      </c>
      <c r="E268" s="13">
        <v>5215</v>
      </c>
      <c r="F268" s="13">
        <f t="shared" si="91"/>
        <v>197075</v>
      </c>
      <c r="G268" s="13">
        <v>163</v>
      </c>
      <c r="H268" s="13">
        <v>4348</v>
      </c>
      <c r="I268" s="13">
        <v>12264</v>
      </c>
      <c r="J268" s="15">
        <v>0</v>
      </c>
      <c r="K268" s="15">
        <v>0</v>
      </c>
      <c r="L268" s="13">
        <f t="shared" si="88"/>
        <v>213850</v>
      </c>
      <c r="M268" s="13">
        <f t="shared" si="81"/>
        <v>219065</v>
      </c>
      <c r="N268" s="13">
        <v>108080</v>
      </c>
      <c r="O268" s="13">
        <v>146036</v>
      </c>
      <c r="P268" s="13">
        <f t="shared" si="92"/>
        <v>-37956</v>
      </c>
      <c r="Q268" s="13">
        <f t="shared" si="93"/>
        <v>175894</v>
      </c>
    </row>
    <row r="269" spans="1:17" ht="12.75" x14ac:dyDescent="0.2">
      <c r="A269" s="18" t="s">
        <v>81</v>
      </c>
      <c r="B269" s="13">
        <v>12534</v>
      </c>
      <c r="C269" s="13">
        <v>4630</v>
      </c>
      <c r="D269" s="13">
        <v>135258</v>
      </c>
      <c r="E269" s="13">
        <v>5790</v>
      </c>
      <c r="F269" s="13">
        <f t="shared" si="91"/>
        <v>146632</v>
      </c>
      <c r="G269" s="13">
        <v>163</v>
      </c>
      <c r="H269" s="13">
        <v>4348</v>
      </c>
      <c r="I269" s="13">
        <v>12264</v>
      </c>
      <c r="J269" s="15">
        <v>0</v>
      </c>
      <c r="K269" s="15">
        <v>0</v>
      </c>
      <c r="L269" s="13">
        <f t="shared" si="88"/>
        <v>163407</v>
      </c>
      <c r="M269" s="13">
        <f t="shared" si="81"/>
        <v>169197</v>
      </c>
      <c r="N269" s="13">
        <v>118714</v>
      </c>
      <c r="O269" s="13">
        <v>148837</v>
      </c>
      <c r="P269" s="13">
        <f t="shared" si="92"/>
        <v>-30123</v>
      </c>
      <c r="Q269" s="13">
        <f t="shared" si="93"/>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1"/>
  <sheetViews>
    <sheetView showGridLines="0" tabSelected="1" zoomScaleNormal="100" zoomScaleSheetLayoutView="75" workbookViewId="0">
      <pane xSplit="1" ySplit="8" topLeftCell="B269" activePane="bottomRight" state="frozen"/>
      <selection pane="topRight" activeCell="B1" sqref="B1"/>
      <selection pane="bottomLeft" activeCell="A15" sqref="A15"/>
      <selection pane="bottomRight" activeCell="A3" sqref="A3"/>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3" t="s">
        <v>85</v>
      </c>
      <c r="B1" s="43"/>
      <c r="C1" s="43"/>
      <c r="D1" s="43"/>
      <c r="E1" s="43"/>
      <c r="F1" s="43"/>
      <c r="G1" s="43"/>
      <c r="H1" s="43"/>
      <c r="I1" s="43"/>
      <c r="J1" s="43"/>
      <c r="K1" s="43"/>
      <c r="L1" s="43"/>
      <c r="M1" s="43"/>
      <c r="N1" s="43"/>
      <c r="O1" s="43"/>
      <c r="P1" s="43"/>
      <c r="Q1" s="43"/>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4" t="s">
        <v>54</v>
      </c>
      <c r="C4" s="45"/>
      <c r="D4" s="45"/>
      <c r="E4" s="45"/>
      <c r="F4" s="46"/>
      <c r="G4" s="44" t="s">
        <v>53</v>
      </c>
      <c r="H4" s="45"/>
      <c r="I4" s="45"/>
      <c r="J4" s="46"/>
      <c r="K4" s="5"/>
      <c r="L4" s="6"/>
      <c r="M4" s="6"/>
      <c r="N4" s="44" t="s">
        <v>95</v>
      </c>
      <c r="O4" s="45"/>
      <c r="P4" s="46"/>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 t="shared" ref="M10:M21" si="2">B10+C10+D10+G10+H10+I10+J10</f>
        <v>193113</v>
      </c>
      <c r="N10" s="13">
        <v>130907</v>
      </c>
      <c r="O10" s="13">
        <v>150367</v>
      </c>
      <c r="P10" s="13">
        <f t="shared" ref="P10:P21" si="3">N10-O10</f>
        <v>-19460</v>
      </c>
      <c r="Q10" s="13">
        <f t="shared" ref="Q10:Q21" si="4">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si="2"/>
        <v>141401</v>
      </c>
      <c r="N11" s="13">
        <v>154967</v>
      </c>
      <c r="O11" s="13">
        <v>166700</v>
      </c>
      <c r="P11" s="13">
        <f t="shared" si="3"/>
        <v>-11733</v>
      </c>
      <c r="Q11" s="13">
        <f t="shared" si="4"/>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2"/>
        <v>174893</v>
      </c>
      <c r="N12" s="13">
        <v>134482</v>
      </c>
      <c r="O12" s="13">
        <v>137814</v>
      </c>
      <c r="P12" s="13">
        <f t="shared" si="3"/>
        <v>-3332</v>
      </c>
      <c r="Q12" s="13">
        <f t="shared" si="4"/>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2"/>
        <v>328302</v>
      </c>
      <c r="N13" s="13">
        <v>121121</v>
      </c>
      <c r="O13" s="13">
        <v>124013</v>
      </c>
      <c r="P13" s="13">
        <f t="shared" si="3"/>
        <v>-2892</v>
      </c>
      <c r="Q13" s="13">
        <f t="shared" si="4"/>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2"/>
        <v>197718</v>
      </c>
      <c r="N14" s="13">
        <v>140082</v>
      </c>
      <c r="O14" s="13">
        <v>142961</v>
      </c>
      <c r="P14" s="13">
        <f t="shared" si="3"/>
        <v>-2879</v>
      </c>
      <c r="Q14" s="13">
        <f t="shared" si="4"/>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2"/>
        <v>160908</v>
      </c>
      <c r="N15" s="13">
        <v>142481</v>
      </c>
      <c r="O15" s="13">
        <v>142828</v>
      </c>
      <c r="P15" s="13">
        <f t="shared" si="3"/>
        <v>-347</v>
      </c>
      <c r="Q15" s="13">
        <f t="shared" si="4"/>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2"/>
        <v>160950</v>
      </c>
      <c r="N16" s="13">
        <v>141232</v>
      </c>
      <c r="O16" s="13">
        <v>143924</v>
      </c>
      <c r="P16" s="13">
        <f t="shared" si="3"/>
        <v>-2692</v>
      </c>
      <c r="Q16" s="13">
        <f t="shared" si="4"/>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2"/>
        <v>141499</v>
      </c>
      <c r="N17" s="13">
        <v>117937</v>
      </c>
      <c r="O17" s="13">
        <v>128908</v>
      </c>
      <c r="P17" s="13">
        <f t="shared" si="3"/>
        <v>-10971</v>
      </c>
      <c r="Q17" s="13">
        <f t="shared" si="4"/>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2"/>
        <v>132961</v>
      </c>
      <c r="N18" s="13">
        <v>113661</v>
      </c>
      <c r="O18" s="13">
        <v>130877</v>
      </c>
      <c r="P18" s="13">
        <f t="shared" si="3"/>
        <v>-17216</v>
      </c>
      <c r="Q18" s="13">
        <f t="shared" si="4"/>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2"/>
        <v>123787</v>
      </c>
      <c r="N19" s="13">
        <v>119592</v>
      </c>
      <c r="O19" s="13">
        <v>137990</v>
      </c>
      <c r="P19" s="13">
        <f t="shared" si="3"/>
        <v>-18398</v>
      </c>
      <c r="Q19" s="13">
        <f t="shared" si="4"/>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2"/>
        <v>147603</v>
      </c>
      <c r="N20" s="13">
        <v>119600</v>
      </c>
      <c r="O20" s="13">
        <v>129491</v>
      </c>
      <c r="P20" s="13">
        <f t="shared" si="3"/>
        <v>-9891</v>
      </c>
      <c r="Q20" s="13">
        <f t="shared" si="4"/>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 t="shared" si="2"/>
        <v>106798</v>
      </c>
      <c r="N21" s="13">
        <v>129295</v>
      </c>
      <c r="O21" s="13">
        <v>147866</v>
      </c>
      <c r="P21" s="13">
        <f t="shared" si="3"/>
        <v>-18571</v>
      </c>
      <c r="Q21" s="13">
        <f t="shared" si="4"/>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 t="shared" ref="M23:M33" si="7">B23+C23+D23+G23+H23+I23+J23-L23</f>
        <v>142767</v>
      </c>
      <c r="N23" s="13">
        <v>140198</v>
      </c>
      <c r="O23" s="13">
        <v>148778</v>
      </c>
      <c r="P23" s="13">
        <f t="shared" ref="P23:P60" si="8">N23-O23</f>
        <v>-8580</v>
      </c>
      <c r="Q23" s="13">
        <f t="shared" ref="Q23:Q34" si="9">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si="7"/>
        <v>117718</v>
      </c>
      <c r="N24" s="13">
        <v>156385</v>
      </c>
      <c r="O24" s="13">
        <v>153559</v>
      </c>
      <c r="P24" s="13">
        <f t="shared" si="8"/>
        <v>2826</v>
      </c>
      <c r="Q24" s="13">
        <f t="shared" si="9"/>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7"/>
        <v>285269.49348</v>
      </c>
      <c r="N25" s="13">
        <v>191309</v>
      </c>
      <c r="O25" s="13">
        <v>135442</v>
      </c>
      <c r="P25" s="13">
        <f t="shared" si="8"/>
        <v>55867</v>
      </c>
      <c r="Q25" s="13">
        <f t="shared" si="9"/>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7"/>
        <v>295188</v>
      </c>
      <c r="N26" s="13">
        <v>201746</v>
      </c>
      <c r="O26" s="13">
        <v>179184</v>
      </c>
      <c r="P26" s="13">
        <f t="shared" si="8"/>
        <v>22562</v>
      </c>
      <c r="Q26" s="13">
        <f t="shared" si="9"/>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7"/>
        <v>299693</v>
      </c>
      <c r="N27" s="13">
        <v>166453</v>
      </c>
      <c r="O27" s="13">
        <v>133120</v>
      </c>
      <c r="P27" s="13">
        <f t="shared" si="8"/>
        <v>33333</v>
      </c>
      <c r="Q27" s="13">
        <f t="shared" si="9"/>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7"/>
        <v>163892.45759999999</v>
      </c>
      <c r="N28" s="13">
        <v>151578</v>
      </c>
      <c r="O28" s="13">
        <v>139394</v>
      </c>
      <c r="P28" s="13">
        <f t="shared" si="8"/>
        <v>12184</v>
      </c>
      <c r="Q28" s="13">
        <f t="shared" si="9"/>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7"/>
        <v>219968</v>
      </c>
      <c r="N29" s="13">
        <v>145648</v>
      </c>
      <c r="O29" s="13">
        <v>138982</v>
      </c>
      <c r="P29" s="13">
        <f t="shared" si="8"/>
        <v>6666</v>
      </c>
      <c r="Q29" s="13">
        <f t="shared" si="9"/>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7"/>
        <v>195714</v>
      </c>
      <c r="N30" s="13">
        <v>141603</v>
      </c>
      <c r="O30" s="13">
        <v>142380</v>
      </c>
      <c r="P30" s="13">
        <f t="shared" si="8"/>
        <v>-777</v>
      </c>
      <c r="Q30" s="13">
        <f t="shared" si="9"/>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7"/>
        <v>161853.13266</v>
      </c>
      <c r="N31" s="13">
        <v>130194</v>
      </c>
      <c r="O31" s="13">
        <v>148926</v>
      </c>
      <c r="P31" s="13">
        <f t="shared" si="8"/>
        <v>-18732</v>
      </c>
      <c r="Q31" s="13">
        <f t="shared" si="9"/>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7"/>
        <v>216429</v>
      </c>
      <c r="N32" s="13">
        <v>131315</v>
      </c>
      <c r="O32" s="13">
        <v>153125</v>
      </c>
      <c r="P32" s="13">
        <f t="shared" si="8"/>
        <v>-21810</v>
      </c>
      <c r="Q32" s="13">
        <f t="shared" si="9"/>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7"/>
        <v>157889</v>
      </c>
      <c r="N33" s="13">
        <v>143096</v>
      </c>
      <c r="O33" s="13">
        <v>154992</v>
      </c>
      <c r="P33" s="13">
        <f t="shared" si="8"/>
        <v>-11896</v>
      </c>
      <c r="Q33" s="13">
        <f t="shared" si="9"/>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ref="M34:M46" si="10">B34+C34+D34+G34+H34+I34+J34-L34</f>
        <v>79634</v>
      </c>
      <c r="N34" s="13">
        <v>147637</v>
      </c>
      <c r="O34" s="13">
        <v>154219</v>
      </c>
      <c r="P34" s="13">
        <f t="shared" si="8"/>
        <v>-6582</v>
      </c>
      <c r="Q34" s="13">
        <f t="shared" si="9"/>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1">SUM(F36:J36)</f>
        <v>180732</v>
      </c>
      <c r="L36" s="28">
        <v>64011</v>
      </c>
      <c r="M36" s="13">
        <f t="shared" si="10"/>
        <v>119894</v>
      </c>
      <c r="N36" s="13">
        <v>120627</v>
      </c>
      <c r="O36" s="13">
        <v>156402</v>
      </c>
      <c r="P36" s="13">
        <f t="shared" si="8"/>
        <v>-35775</v>
      </c>
      <c r="Q36" s="13">
        <f t="shared" ref="Q36:Q47" si="12">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1"/>
        <v>171849</v>
      </c>
      <c r="L37" s="28">
        <v>64188</v>
      </c>
      <c r="M37" s="13">
        <f t="shared" si="10"/>
        <v>110459</v>
      </c>
      <c r="N37" s="13">
        <v>144018</v>
      </c>
      <c r="O37" s="13">
        <v>165154</v>
      </c>
      <c r="P37" s="13">
        <f t="shared" si="8"/>
        <v>-21136</v>
      </c>
      <c r="Q37" s="13">
        <f t="shared" si="12"/>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1"/>
        <v>146163</v>
      </c>
      <c r="L38" s="28">
        <v>62261</v>
      </c>
      <c r="M38" s="13">
        <f t="shared" si="10"/>
        <v>86403</v>
      </c>
      <c r="N38" s="13">
        <v>148575</v>
      </c>
      <c r="O38" s="13">
        <v>144487</v>
      </c>
      <c r="P38" s="13">
        <f t="shared" si="8"/>
        <v>4088</v>
      </c>
      <c r="Q38" s="13">
        <f t="shared" si="12"/>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1"/>
        <v>153389</v>
      </c>
      <c r="L39" s="28">
        <v>62454</v>
      </c>
      <c r="M39" s="13">
        <f t="shared" si="10"/>
        <v>93438</v>
      </c>
      <c r="N39" s="13">
        <v>166647</v>
      </c>
      <c r="O39" s="13">
        <v>157173</v>
      </c>
      <c r="P39" s="13">
        <f t="shared" si="8"/>
        <v>9474</v>
      </c>
      <c r="Q39" s="13">
        <f t="shared" si="12"/>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1"/>
        <v>165367</v>
      </c>
      <c r="L40" s="28">
        <v>62645</v>
      </c>
      <c r="M40" s="13">
        <f t="shared" si="10"/>
        <v>105282</v>
      </c>
      <c r="N40" s="13">
        <v>166125</v>
      </c>
      <c r="O40" s="13">
        <v>141975</v>
      </c>
      <c r="P40" s="13">
        <f t="shared" si="8"/>
        <v>24150</v>
      </c>
      <c r="Q40" s="13">
        <f t="shared" si="12"/>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1"/>
        <v>149440</v>
      </c>
      <c r="L41" s="28">
        <v>62850</v>
      </c>
      <c r="M41" s="13">
        <f t="shared" si="10"/>
        <v>89049</v>
      </c>
      <c r="N41" s="13">
        <v>164844</v>
      </c>
      <c r="O41" s="13">
        <v>136943</v>
      </c>
      <c r="P41" s="13">
        <f t="shared" si="8"/>
        <v>27901</v>
      </c>
      <c r="Q41" s="13">
        <f t="shared" si="12"/>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1"/>
        <v>191830</v>
      </c>
      <c r="L42" s="28">
        <v>63054</v>
      </c>
      <c r="M42" s="13">
        <f t="shared" si="10"/>
        <v>130775</v>
      </c>
      <c r="N42" s="13">
        <v>179303</v>
      </c>
      <c r="O42" s="13">
        <v>128172</v>
      </c>
      <c r="P42" s="13">
        <f t="shared" si="8"/>
        <v>51131</v>
      </c>
      <c r="Q42" s="13">
        <f t="shared" si="12"/>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1"/>
        <v>171465</v>
      </c>
      <c r="L43" s="28">
        <v>59798</v>
      </c>
      <c r="M43" s="13">
        <f t="shared" si="10"/>
        <v>113645</v>
      </c>
      <c r="N43" s="13">
        <v>194802</v>
      </c>
      <c r="O43" s="13">
        <v>133186</v>
      </c>
      <c r="P43" s="13">
        <f t="shared" si="8"/>
        <v>61616</v>
      </c>
      <c r="Q43" s="13">
        <f t="shared" si="12"/>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1"/>
        <v>148542</v>
      </c>
      <c r="L44" s="28">
        <v>39253</v>
      </c>
      <c r="M44" s="13">
        <f t="shared" si="10"/>
        <v>112414</v>
      </c>
      <c r="N44" s="13">
        <v>159704</v>
      </c>
      <c r="O44" s="13">
        <v>117617</v>
      </c>
      <c r="P44" s="13">
        <f t="shared" si="8"/>
        <v>42087</v>
      </c>
      <c r="Q44" s="13">
        <f t="shared" si="12"/>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1"/>
        <v>131977</v>
      </c>
      <c r="L45" s="28">
        <v>39421</v>
      </c>
      <c r="M45" s="13">
        <f t="shared" si="10"/>
        <v>95145</v>
      </c>
      <c r="N45" s="13">
        <v>172541</v>
      </c>
      <c r="O45" s="13">
        <v>126855</v>
      </c>
      <c r="P45" s="13">
        <f t="shared" si="8"/>
        <v>45686</v>
      </c>
      <c r="Q45" s="13">
        <f t="shared" si="12"/>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1"/>
        <v>137577</v>
      </c>
      <c r="L46" s="28">
        <v>39560</v>
      </c>
      <c r="M46" s="13">
        <f t="shared" si="10"/>
        <v>100307</v>
      </c>
      <c r="N46" s="13">
        <v>176382</v>
      </c>
      <c r="O46" s="13">
        <v>128624</v>
      </c>
      <c r="P46" s="13">
        <f t="shared" si="8"/>
        <v>47758</v>
      </c>
      <c r="Q46" s="13">
        <f t="shared" si="12"/>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1"/>
        <v>206409</v>
      </c>
      <c r="L47" s="28">
        <v>39542</v>
      </c>
      <c r="M47" s="13">
        <f t="shared" ref="M47:M59" si="13">B47+C47+D47+G47+H47+I47+J47-L47</f>
        <v>169253</v>
      </c>
      <c r="N47" s="13">
        <v>180418</v>
      </c>
      <c r="O47" s="13">
        <v>125813</v>
      </c>
      <c r="P47" s="13">
        <f t="shared" si="8"/>
        <v>54605</v>
      </c>
      <c r="Q47" s="13">
        <f t="shared" si="12"/>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4">SUM(F49:J49)</f>
        <v>247493</v>
      </c>
      <c r="L49" s="28">
        <v>39682</v>
      </c>
      <c r="M49" s="13">
        <f t="shared" si="13"/>
        <v>211053</v>
      </c>
      <c r="N49" s="13">
        <v>191136</v>
      </c>
      <c r="O49" s="13">
        <v>113759</v>
      </c>
      <c r="P49" s="13">
        <f t="shared" si="8"/>
        <v>77377</v>
      </c>
      <c r="Q49" s="13">
        <f t="shared" ref="Q49:Q60" si="15">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4"/>
        <v>170893</v>
      </c>
      <c r="L50" s="28">
        <v>37822.40178</v>
      </c>
      <c r="M50" s="13">
        <f t="shared" si="13"/>
        <v>135514.59821999999</v>
      </c>
      <c r="N50" s="13">
        <v>202137</v>
      </c>
      <c r="O50" s="13">
        <v>105584</v>
      </c>
      <c r="P50" s="13">
        <f t="shared" si="8"/>
        <v>96553</v>
      </c>
      <c r="Q50" s="13">
        <f t="shared" si="15"/>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4"/>
        <v>142439.08658</v>
      </c>
      <c r="L51" s="28">
        <v>2590</v>
      </c>
      <c r="M51" s="13">
        <f t="shared" si="13"/>
        <v>142588.08658</v>
      </c>
      <c r="N51" s="13">
        <v>215546</v>
      </c>
      <c r="O51" s="13">
        <v>87227</v>
      </c>
      <c r="P51" s="13">
        <f t="shared" si="8"/>
        <v>128319</v>
      </c>
      <c r="Q51" s="13">
        <f t="shared" si="15"/>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4"/>
        <v>174032</v>
      </c>
      <c r="L52" s="28">
        <v>2590</v>
      </c>
      <c r="M52" s="13">
        <f t="shared" si="13"/>
        <v>174110</v>
      </c>
      <c r="N52" s="13">
        <v>212523</v>
      </c>
      <c r="O52" s="13">
        <v>91497</v>
      </c>
      <c r="P52" s="13">
        <f t="shared" si="8"/>
        <v>121026</v>
      </c>
      <c r="Q52" s="13">
        <f t="shared" si="15"/>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4"/>
        <v>177998</v>
      </c>
      <c r="L53" s="28">
        <v>2590</v>
      </c>
      <c r="M53" s="13">
        <f t="shared" si="13"/>
        <v>177683</v>
      </c>
      <c r="N53" s="13">
        <v>207412</v>
      </c>
      <c r="O53" s="13">
        <v>79724</v>
      </c>
      <c r="P53" s="13">
        <f t="shared" si="8"/>
        <v>127688</v>
      </c>
      <c r="Q53" s="13">
        <f t="shared" si="15"/>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4"/>
        <v>178745</v>
      </c>
      <c r="L54" s="28">
        <v>2590</v>
      </c>
      <c r="M54" s="13">
        <f t="shared" si="13"/>
        <v>178695</v>
      </c>
      <c r="N54" s="13">
        <v>201349</v>
      </c>
      <c r="O54" s="13">
        <v>74005</v>
      </c>
      <c r="P54" s="13">
        <f t="shared" si="8"/>
        <v>127344</v>
      </c>
      <c r="Q54" s="13">
        <f t="shared" si="15"/>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4"/>
        <v>177637</v>
      </c>
      <c r="L55" s="28">
        <v>2590</v>
      </c>
      <c r="M55" s="13">
        <f t="shared" si="13"/>
        <v>177682</v>
      </c>
      <c r="N55" s="13">
        <v>206845</v>
      </c>
      <c r="O55" s="13">
        <v>75555</v>
      </c>
      <c r="P55" s="13">
        <f t="shared" si="8"/>
        <v>131290</v>
      </c>
      <c r="Q55" s="13">
        <f t="shared" si="15"/>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4"/>
        <v>190843</v>
      </c>
      <c r="L56" s="28">
        <v>2590</v>
      </c>
      <c r="M56" s="13">
        <f t="shared" si="13"/>
        <v>190365</v>
      </c>
      <c r="N56" s="13">
        <v>201979</v>
      </c>
      <c r="O56" s="13">
        <v>76481</v>
      </c>
      <c r="P56" s="13">
        <f t="shared" si="8"/>
        <v>125498</v>
      </c>
      <c r="Q56" s="13">
        <f t="shared" si="15"/>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4"/>
        <v>179200</v>
      </c>
      <c r="L57" s="28">
        <v>2590</v>
      </c>
      <c r="M57" s="13">
        <f t="shared" si="13"/>
        <v>178701</v>
      </c>
      <c r="N57" s="13">
        <v>188673</v>
      </c>
      <c r="O57" s="13">
        <v>70209</v>
      </c>
      <c r="P57" s="13">
        <f t="shared" si="8"/>
        <v>118464</v>
      </c>
      <c r="Q57" s="13">
        <f t="shared" si="15"/>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4"/>
        <v>168902</v>
      </c>
      <c r="L58" s="28">
        <v>2590</v>
      </c>
      <c r="M58" s="13">
        <f t="shared" si="13"/>
        <v>169937</v>
      </c>
      <c r="N58" s="13">
        <v>179810</v>
      </c>
      <c r="O58" s="13">
        <v>74120</v>
      </c>
      <c r="P58" s="13">
        <f t="shared" si="8"/>
        <v>105690</v>
      </c>
      <c r="Q58" s="13">
        <f t="shared" si="15"/>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4"/>
        <v>174204</v>
      </c>
      <c r="L59" s="28">
        <v>2590</v>
      </c>
      <c r="M59" s="13">
        <f t="shared" si="13"/>
        <v>174639</v>
      </c>
      <c r="N59" s="13">
        <v>178227</v>
      </c>
      <c r="O59" s="13">
        <v>71262</v>
      </c>
      <c r="P59" s="13">
        <f t="shared" si="8"/>
        <v>106965</v>
      </c>
      <c r="Q59" s="13">
        <f t="shared" si="15"/>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4"/>
        <v>215127</v>
      </c>
      <c r="L60" s="28">
        <v>2467</v>
      </c>
      <c r="M60" s="13">
        <f t="shared" ref="M60:M72" si="16">B60+C60+D60+G60+H60+I60+J60-L60</f>
        <v>215062</v>
      </c>
      <c r="N60" s="13">
        <v>203307</v>
      </c>
      <c r="O60" s="13">
        <v>67283</v>
      </c>
      <c r="P60" s="13">
        <f t="shared" si="8"/>
        <v>136024</v>
      </c>
      <c r="Q60" s="13">
        <f t="shared" si="15"/>
        <v>351151</v>
      </c>
    </row>
    <row r="61" spans="1:17" s="10" customFormat="1" ht="12.75" customHeight="1" x14ac:dyDescent="0.2">
      <c r="A61" s="11" t="s">
        <v>59</v>
      </c>
      <c r="B61" s="12"/>
      <c r="C61" s="12"/>
      <c r="D61" s="12"/>
      <c r="E61" s="12"/>
      <c r="F61" s="12"/>
      <c r="G61" s="12"/>
      <c r="H61" s="12"/>
      <c r="I61" s="12"/>
      <c r="J61" s="12"/>
      <c r="K61" s="12"/>
      <c r="L61" s="12"/>
      <c r="M61" s="12"/>
      <c r="N61" s="12"/>
      <c r="O61" s="12"/>
      <c r="P61" s="12"/>
      <c r="Q61" s="12"/>
    </row>
    <row r="62" spans="1:17" s="10" customFormat="1" ht="12.75" customHeight="1" x14ac:dyDescent="0.2">
      <c r="A62" s="18" t="s">
        <v>86</v>
      </c>
      <c r="B62" s="13">
        <v>13456</v>
      </c>
      <c r="C62" s="13">
        <v>6859</v>
      </c>
      <c r="D62" s="13">
        <v>205156</v>
      </c>
      <c r="E62" s="13">
        <v>2525</v>
      </c>
      <c r="F62" s="13">
        <f t="shared" ref="F62:F73" si="17">B62+C62+D62-E62</f>
        <v>222946</v>
      </c>
      <c r="G62" s="13">
        <v>79</v>
      </c>
      <c r="H62" s="28">
        <v>4910</v>
      </c>
      <c r="I62" s="13">
        <v>14843</v>
      </c>
      <c r="J62" s="21" t="s">
        <v>94</v>
      </c>
      <c r="K62" s="13">
        <f t="shared" ref="K62:K73" si="18">F62+G62+H62+I62+J62</f>
        <v>242778</v>
      </c>
      <c r="L62" s="28">
        <v>2467</v>
      </c>
      <c r="M62" s="13">
        <f t="shared" si="16"/>
        <v>242836</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7"/>
        <v>198081</v>
      </c>
      <c r="G63" s="13">
        <v>79</v>
      </c>
      <c r="H63" s="28">
        <v>4921</v>
      </c>
      <c r="I63" s="13">
        <v>15011</v>
      </c>
      <c r="J63" s="21" t="s">
        <v>94</v>
      </c>
      <c r="K63" s="13">
        <f t="shared" si="18"/>
        <v>218092</v>
      </c>
      <c r="L63" s="28">
        <v>2467</v>
      </c>
      <c r="M63" s="13">
        <f t="shared" si="16"/>
        <v>218282</v>
      </c>
      <c r="N63" s="13">
        <v>203364</v>
      </c>
      <c r="O63" s="13">
        <v>85864</v>
      </c>
      <c r="P63" s="13">
        <f t="shared" ref="P63:P73" si="19">N63-O63</f>
        <v>117500</v>
      </c>
      <c r="Q63" s="13">
        <f t="shared" ref="Q63:Q97" si="20">K63+P63</f>
        <v>335592</v>
      </c>
    </row>
    <row r="64" spans="1:17" s="10" customFormat="1" ht="12.75" customHeight="1" x14ac:dyDescent="0.2">
      <c r="A64" s="18" t="s">
        <v>78</v>
      </c>
      <c r="B64" s="13">
        <v>13872</v>
      </c>
      <c r="C64" s="13">
        <v>7225</v>
      </c>
      <c r="D64" s="13">
        <v>181727</v>
      </c>
      <c r="E64" s="13">
        <v>2129</v>
      </c>
      <c r="F64" s="13">
        <f t="shared" si="17"/>
        <v>200695</v>
      </c>
      <c r="G64" s="13">
        <v>80</v>
      </c>
      <c r="H64" s="28">
        <v>4935</v>
      </c>
      <c r="I64" s="13">
        <v>15140</v>
      </c>
      <c r="J64" s="21" t="s">
        <v>94</v>
      </c>
      <c r="K64" s="13">
        <f t="shared" si="18"/>
        <v>220850</v>
      </c>
      <c r="L64" s="28">
        <v>2467</v>
      </c>
      <c r="M64" s="13">
        <f t="shared" si="16"/>
        <v>220512</v>
      </c>
      <c r="N64" s="13">
        <v>229926</v>
      </c>
      <c r="O64" s="13">
        <v>86315</v>
      </c>
      <c r="P64" s="13">
        <f t="shared" si="19"/>
        <v>143611</v>
      </c>
      <c r="Q64" s="13">
        <f t="shared" si="20"/>
        <v>364461</v>
      </c>
    </row>
    <row r="65" spans="1:17" s="10" customFormat="1" ht="12.75" x14ac:dyDescent="0.2">
      <c r="A65" s="18" t="s">
        <v>88</v>
      </c>
      <c r="B65" s="13">
        <v>13697</v>
      </c>
      <c r="C65" s="13">
        <v>7134</v>
      </c>
      <c r="D65" s="13">
        <v>208093</v>
      </c>
      <c r="E65" s="13">
        <v>2254</v>
      </c>
      <c r="F65" s="13">
        <f t="shared" si="17"/>
        <v>226670</v>
      </c>
      <c r="G65" s="13">
        <v>80</v>
      </c>
      <c r="H65" s="28">
        <v>4938</v>
      </c>
      <c r="I65" s="13">
        <v>14888</v>
      </c>
      <c r="J65" s="21" t="s">
        <v>94</v>
      </c>
      <c r="K65" s="13">
        <f t="shared" si="18"/>
        <v>246576</v>
      </c>
      <c r="L65" s="28">
        <v>2467</v>
      </c>
      <c r="M65" s="13">
        <f t="shared" si="16"/>
        <v>246363</v>
      </c>
      <c r="N65" s="13">
        <v>225219</v>
      </c>
      <c r="O65" s="13">
        <v>76856</v>
      </c>
      <c r="P65" s="13">
        <f t="shared" si="19"/>
        <v>148363</v>
      </c>
      <c r="Q65" s="13">
        <f t="shared" si="20"/>
        <v>394939</v>
      </c>
    </row>
    <row r="66" spans="1:17" s="10" customFormat="1" ht="12.75" customHeight="1" x14ac:dyDescent="0.2">
      <c r="A66" s="18" t="s">
        <v>89</v>
      </c>
      <c r="B66" s="13">
        <v>13671</v>
      </c>
      <c r="C66" s="13">
        <v>7243</v>
      </c>
      <c r="D66" s="13">
        <v>221505</v>
      </c>
      <c r="E66" s="13">
        <v>1752</v>
      </c>
      <c r="F66" s="13">
        <f t="shared" si="17"/>
        <v>240667</v>
      </c>
      <c r="G66" s="13">
        <v>78</v>
      </c>
      <c r="H66" s="28">
        <v>4950</v>
      </c>
      <c r="I66" s="13">
        <v>14697</v>
      </c>
      <c r="J66" s="21" t="s">
        <v>94</v>
      </c>
      <c r="K66" s="13">
        <f t="shared" si="18"/>
        <v>260392</v>
      </c>
      <c r="L66" s="28">
        <v>2467</v>
      </c>
      <c r="M66" s="13">
        <f t="shared" si="16"/>
        <v>259677</v>
      </c>
      <c r="N66" s="13">
        <v>218647</v>
      </c>
      <c r="O66" s="13">
        <v>70181</v>
      </c>
      <c r="P66" s="13">
        <f t="shared" si="19"/>
        <v>148466</v>
      </c>
      <c r="Q66" s="13">
        <f t="shared" si="20"/>
        <v>408858</v>
      </c>
    </row>
    <row r="67" spans="1:17" s="10" customFormat="1" ht="12.75" customHeight="1" x14ac:dyDescent="0.2">
      <c r="A67" s="18" t="s">
        <v>79</v>
      </c>
      <c r="B67" s="13">
        <v>13780</v>
      </c>
      <c r="C67" s="13">
        <v>7300</v>
      </c>
      <c r="D67" s="13">
        <v>235490</v>
      </c>
      <c r="E67" s="13">
        <v>1792</v>
      </c>
      <c r="F67" s="13">
        <f t="shared" si="17"/>
        <v>254778</v>
      </c>
      <c r="G67" s="13">
        <v>78</v>
      </c>
      <c r="H67" s="28">
        <v>4962</v>
      </c>
      <c r="I67" s="13">
        <v>14847</v>
      </c>
      <c r="J67" s="21" t="s">
        <v>94</v>
      </c>
      <c r="K67" s="13">
        <f t="shared" si="18"/>
        <v>274665</v>
      </c>
      <c r="L67" s="28">
        <v>2467</v>
      </c>
      <c r="M67" s="13">
        <f t="shared" si="16"/>
        <v>273990</v>
      </c>
      <c r="N67" s="13">
        <v>226300</v>
      </c>
      <c r="O67" s="13">
        <v>69844</v>
      </c>
      <c r="P67" s="13">
        <f t="shared" si="19"/>
        <v>156456</v>
      </c>
      <c r="Q67" s="13">
        <f t="shared" si="20"/>
        <v>431121</v>
      </c>
    </row>
    <row r="68" spans="1:17" s="10" customFormat="1" ht="12.75" customHeight="1" x14ac:dyDescent="0.2">
      <c r="A68" s="18" t="s">
        <v>90</v>
      </c>
      <c r="B68" s="13">
        <v>13672</v>
      </c>
      <c r="C68" s="13">
        <v>7243</v>
      </c>
      <c r="D68" s="13">
        <v>269413</v>
      </c>
      <c r="E68" s="13">
        <v>1788</v>
      </c>
      <c r="F68" s="13">
        <f t="shared" si="17"/>
        <v>288540</v>
      </c>
      <c r="G68" s="13">
        <v>79</v>
      </c>
      <c r="H68" s="28">
        <v>4967</v>
      </c>
      <c r="I68" s="13">
        <v>14902</v>
      </c>
      <c r="J68" s="21" t="s">
        <v>94</v>
      </c>
      <c r="K68" s="13">
        <f t="shared" si="18"/>
        <v>308488</v>
      </c>
      <c r="L68" s="28">
        <v>2467</v>
      </c>
      <c r="M68" s="13">
        <f t="shared" si="16"/>
        <v>307809</v>
      </c>
      <c r="N68" s="13">
        <v>219026</v>
      </c>
      <c r="O68" s="13">
        <v>83677</v>
      </c>
      <c r="P68" s="13">
        <f t="shared" si="19"/>
        <v>135349</v>
      </c>
      <c r="Q68" s="13">
        <f t="shared" si="20"/>
        <v>443837</v>
      </c>
    </row>
    <row r="69" spans="1:17" s="10" customFormat="1" ht="12.75" customHeight="1" x14ac:dyDescent="0.2">
      <c r="A69" s="18" t="s">
        <v>91</v>
      </c>
      <c r="B69" s="13">
        <v>13242</v>
      </c>
      <c r="C69" s="13">
        <v>7145</v>
      </c>
      <c r="D69" s="13">
        <v>273388</v>
      </c>
      <c r="E69" s="13">
        <v>2522</v>
      </c>
      <c r="F69" s="13">
        <f t="shared" si="17"/>
        <v>291253</v>
      </c>
      <c r="G69" s="13">
        <v>79</v>
      </c>
      <c r="H69" s="28">
        <v>4980</v>
      </c>
      <c r="I69" s="13">
        <v>15056</v>
      </c>
      <c r="J69" s="21" t="s">
        <v>94</v>
      </c>
      <c r="K69" s="13">
        <f t="shared" si="18"/>
        <v>311368</v>
      </c>
      <c r="L69" s="28">
        <v>2467</v>
      </c>
      <c r="M69" s="13">
        <f t="shared" si="16"/>
        <v>311423</v>
      </c>
      <c r="N69" s="13">
        <v>205464</v>
      </c>
      <c r="O69" s="13">
        <v>102707</v>
      </c>
      <c r="P69" s="13">
        <f t="shared" si="19"/>
        <v>102757</v>
      </c>
      <c r="Q69" s="13">
        <f t="shared" si="20"/>
        <v>414125</v>
      </c>
    </row>
    <row r="70" spans="1:17" s="10" customFormat="1" ht="12.75" customHeight="1" x14ac:dyDescent="0.2">
      <c r="A70" s="18" t="s">
        <v>80</v>
      </c>
      <c r="B70" s="13">
        <v>13135</v>
      </c>
      <c r="C70" s="13">
        <v>7087</v>
      </c>
      <c r="D70" s="13">
        <v>300556</v>
      </c>
      <c r="E70" s="13">
        <v>1701</v>
      </c>
      <c r="F70" s="13">
        <f t="shared" si="17"/>
        <v>319077</v>
      </c>
      <c r="G70" s="13">
        <v>71</v>
      </c>
      <c r="H70" s="28">
        <v>4991</v>
      </c>
      <c r="I70" s="13">
        <v>15114</v>
      </c>
      <c r="J70" s="21" t="s">
        <v>94</v>
      </c>
      <c r="K70" s="13">
        <f t="shared" si="18"/>
        <v>339253</v>
      </c>
      <c r="L70" s="28">
        <v>2467</v>
      </c>
      <c r="M70" s="13">
        <f t="shared" si="16"/>
        <v>338487</v>
      </c>
      <c r="N70" s="13">
        <v>193155</v>
      </c>
      <c r="O70" s="13">
        <v>110409</v>
      </c>
      <c r="P70" s="13">
        <f t="shared" si="19"/>
        <v>82746</v>
      </c>
      <c r="Q70" s="13">
        <f t="shared" si="20"/>
        <v>421999</v>
      </c>
    </row>
    <row r="71" spans="1:17" s="10" customFormat="1" ht="12.75" customHeight="1" x14ac:dyDescent="0.2">
      <c r="A71" s="18" t="s">
        <v>92</v>
      </c>
      <c r="B71" s="13">
        <v>12554</v>
      </c>
      <c r="C71" s="13">
        <v>6774</v>
      </c>
      <c r="D71" s="13">
        <v>305168</v>
      </c>
      <c r="E71" s="13">
        <v>2826</v>
      </c>
      <c r="F71" s="13">
        <f t="shared" si="17"/>
        <v>321670</v>
      </c>
      <c r="G71" s="13">
        <v>62</v>
      </c>
      <c r="H71" s="28">
        <v>4997</v>
      </c>
      <c r="I71" s="13">
        <v>15075</v>
      </c>
      <c r="J71" s="21" t="s">
        <v>94</v>
      </c>
      <c r="K71" s="13">
        <f t="shared" si="18"/>
        <v>341804</v>
      </c>
      <c r="L71" s="28">
        <v>2467</v>
      </c>
      <c r="M71" s="13">
        <f t="shared" si="16"/>
        <v>342163</v>
      </c>
      <c r="N71" s="13">
        <v>195680</v>
      </c>
      <c r="O71" s="13">
        <v>137376</v>
      </c>
      <c r="P71" s="13">
        <f t="shared" si="19"/>
        <v>58304</v>
      </c>
      <c r="Q71" s="13">
        <f t="shared" si="20"/>
        <v>400108</v>
      </c>
    </row>
    <row r="72" spans="1:17" s="10" customFormat="1" ht="12.75" customHeight="1" x14ac:dyDescent="0.2">
      <c r="A72" s="18" t="s">
        <v>93</v>
      </c>
      <c r="B72" s="13">
        <v>12603</v>
      </c>
      <c r="C72" s="13">
        <v>6910</v>
      </c>
      <c r="D72" s="13">
        <v>295837</v>
      </c>
      <c r="E72" s="13">
        <v>2227</v>
      </c>
      <c r="F72" s="13">
        <f t="shared" si="17"/>
        <v>313123</v>
      </c>
      <c r="G72" s="13">
        <v>55</v>
      </c>
      <c r="H72" s="28">
        <v>5007</v>
      </c>
      <c r="I72" s="13">
        <v>15842</v>
      </c>
      <c r="J72" s="21" t="s">
        <v>94</v>
      </c>
      <c r="K72" s="13">
        <f t="shared" si="18"/>
        <v>334027</v>
      </c>
      <c r="L72" s="28">
        <v>2344</v>
      </c>
      <c r="M72" s="13">
        <f t="shared" si="16"/>
        <v>333910</v>
      </c>
      <c r="N72" s="13">
        <v>209959</v>
      </c>
      <c r="O72" s="13">
        <v>139883</v>
      </c>
      <c r="P72" s="13">
        <f t="shared" si="19"/>
        <v>70076</v>
      </c>
      <c r="Q72" s="13">
        <f t="shared" si="20"/>
        <v>404103</v>
      </c>
    </row>
    <row r="73" spans="1:17" s="10" customFormat="1" ht="12.75" customHeight="1" x14ac:dyDescent="0.2">
      <c r="A73" s="18" t="s">
        <v>81</v>
      </c>
      <c r="B73" s="13">
        <v>12992</v>
      </c>
      <c r="C73" s="13">
        <v>7124</v>
      </c>
      <c r="D73" s="13">
        <v>291590</v>
      </c>
      <c r="E73" s="13">
        <v>3167</v>
      </c>
      <c r="F73" s="13">
        <f t="shared" si="17"/>
        <v>308539</v>
      </c>
      <c r="G73" s="13">
        <v>53</v>
      </c>
      <c r="H73" s="28">
        <v>5018</v>
      </c>
      <c r="I73" s="13">
        <v>16404</v>
      </c>
      <c r="J73" s="21" t="s">
        <v>94</v>
      </c>
      <c r="K73" s="13">
        <f t="shared" si="18"/>
        <v>330014</v>
      </c>
      <c r="L73" s="28">
        <v>2344</v>
      </c>
      <c r="M73" s="13">
        <f t="shared" ref="M73:M85" si="21">B73+C73+D73+G73+H73+I73+J73-L73</f>
        <v>330837</v>
      </c>
      <c r="N73" s="13">
        <v>235495</v>
      </c>
      <c r="O73" s="13">
        <v>140103</v>
      </c>
      <c r="P73" s="13">
        <f t="shared" si="19"/>
        <v>95392</v>
      </c>
      <c r="Q73" s="13">
        <f t="shared" si="20"/>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22">B75+C75+D75-E75</f>
        <v>331039</v>
      </c>
      <c r="G75" s="13">
        <v>51</v>
      </c>
      <c r="H75" s="28">
        <v>5019</v>
      </c>
      <c r="I75" s="13">
        <v>15967</v>
      </c>
      <c r="J75" s="21" t="s">
        <v>94</v>
      </c>
      <c r="K75" s="13">
        <f t="shared" ref="K75:K86" si="23">F75+G75+H75+I75+J75</f>
        <v>352076</v>
      </c>
      <c r="L75" s="28">
        <v>2344</v>
      </c>
      <c r="M75" s="13">
        <f t="shared" si="21"/>
        <v>351945</v>
      </c>
      <c r="N75" s="13">
        <v>232128</v>
      </c>
      <c r="O75" s="13">
        <v>131107</v>
      </c>
      <c r="P75" s="13">
        <f t="shared" ref="P75:P99" si="24">N75-O75</f>
        <v>101021</v>
      </c>
      <c r="Q75" s="13">
        <f t="shared" si="20"/>
        <v>453097</v>
      </c>
    </row>
    <row r="76" spans="1:17" s="10" customFormat="1" ht="12.75" customHeight="1" x14ac:dyDescent="0.2">
      <c r="A76" s="18" t="s">
        <v>87</v>
      </c>
      <c r="B76" s="13">
        <v>12378</v>
      </c>
      <c r="C76" s="13">
        <v>6759</v>
      </c>
      <c r="D76" s="13">
        <v>301589</v>
      </c>
      <c r="E76" s="13">
        <v>3048</v>
      </c>
      <c r="F76" s="13">
        <f t="shared" si="22"/>
        <v>317678</v>
      </c>
      <c r="G76" s="13">
        <v>51</v>
      </c>
      <c r="H76" s="28">
        <v>5025</v>
      </c>
      <c r="I76" s="13">
        <v>15883</v>
      </c>
      <c r="J76" s="21" t="s">
        <v>94</v>
      </c>
      <c r="K76" s="13">
        <f t="shared" si="23"/>
        <v>338637</v>
      </c>
      <c r="L76" s="28">
        <v>2344</v>
      </c>
      <c r="M76" s="13">
        <f t="shared" si="21"/>
        <v>339341</v>
      </c>
      <c r="N76" s="13">
        <v>227334</v>
      </c>
      <c r="O76" s="13">
        <v>110245</v>
      </c>
      <c r="P76" s="13">
        <f t="shared" si="24"/>
        <v>117089</v>
      </c>
      <c r="Q76" s="13">
        <f t="shared" si="20"/>
        <v>455726</v>
      </c>
    </row>
    <row r="77" spans="1:17" s="10" customFormat="1" ht="12.75" customHeight="1" x14ac:dyDescent="0.2">
      <c r="A77" s="18" t="s">
        <v>78</v>
      </c>
      <c r="B77" s="13">
        <v>12611</v>
      </c>
      <c r="C77" s="13">
        <v>6887</v>
      </c>
      <c r="D77" s="13">
        <v>295806</v>
      </c>
      <c r="E77" s="13">
        <v>2572</v>
      </c>
      <c r="F77" s="13">
        <f t="shared" si="22"/>
        <v>312732</v>
      </c>
      <c r="G77" s="13">
        <v>50</v>
      </c>
      <c r="H77" s="28">
        <v>5033</v>
      </c>
      <c r="I77" s="13">
        <v>16161</v>
      </c>
      <c r="J77" s="21" t="s">
        <v>94</v>
      </c>
      <c r="K77" s="13">
        <f t="shared" si="23"/>
        <v>333976</v>
      </c>
      <c r="L77" s="28">
        <v>2344</v>
      </c>
      <c r="M77" s="13">
        <f t="shared" si="21"/>
        <v>334204</v>
      </c>
      <c r="N77" s="13">
        <v>228079</v>
      </c>
      <c r="O77" s="13">
        <v>92257</v>
      </c>
      <c r="P77" s="13">
        <f t="shared" si="24"/>
        <v>135822</v>
      </c>
      <c r="Q77" s="13">
        <f t="shared" si="20"/>
        <v>469798</v>
      </c>
    </row>
    <row r="78" spans="1:17" s="10" customFormat="1" ht="12.75" customHeight="1" x14ac:dyDescent="0.2">
      <c r="A78" s="18" t="s">
        <v>88</v>
      </c>
      <c r="B78" s="13">
        <v>12634</v>
      </c>
      <c r="C78" s="13">
        <v>6900</v>
      </c>
      <c r="D78" s="13">
        <v>320565</v>
      </c>
      <c r="E78" s="13">
        <v>2964</v>
      </c>
      <c r="F78" s="13">
        <f t="shared" si="22"/>
        <v>337135</v>
      </c>
      <c r="G78" s="13">
        <v>52</v>
      </c>
      <c r="H78" s="28">
        <v>5033</v>
      </c>
      <c r="I78" s="13">
        <v>15886</v>
      </c>
      <c r="J78" s="21" t="s">
        <v>94</v>
      </c>
      <c r="K78" s="13">
        <f t="shared" si="23"/>
        <v>358106</v>
      </c>
      <c r="L78" s="28">
        <v>2344</v>
      </c>
      <c r="M78" s="13">
        <f t="shared" si="21"/>
        <v>358726</v>
      </c>
      <c r="N78" s="13">
        <v>227895</v>
      </c>
      <c r="O78" s="13">
        <v>88758</v>
      </c>
      <c r="P78" s="13">
        <f t="shared" si="24"/>
        <v>139137</v>
      </c>
      <c r="Q78" s="13">
        <f t="shared" si="20"/>
        <v>497243</v>
      </c>
    </row>
    <row r="79" spans="1:17" s="10" customFormat="1" ht="12.75" customHeight="1" x14ac:dyDescent="0.2">
      <c r="A79" s="18" t="s">
        <v>89</v>
      </c>
      <c r="B79" s="13">
        <v>13058</v>
      </c>
      <c r="C79" s="13">
        <v>7111</v>
      </c>
      <c r="D79" s="13">
        <v>319051</v>
      </c>
      <c r="E79" s="13">
        <v>1680</v>
      </c>
      <c r="F79" s="13">
        <f t="shared" si="22"/>
        <v>337540</v>
      </c>
      <c r="G79" s="13">
        <v>54</v>
      </c>
      <c r="H79" s="28">
        <v>5040</v>
      </c>
      <c r="I79" s="13">
        <v>15796</v>
      </c>
      <c r="J79" s="21" t="s">
        <v>94</v>
      </c>
      <c r="K79" s="13">
        <f t="shared" si="23"/>
        <v>358430</v>
      </c>
      <c r="L79" s="28">
        <v>2344</v>
      </c>
      <c r="M79" s="13">
        <f t="shared" si="21"/>
        <v>357766</v>
      </c>
      <c r="N79" s="13">
        <v>236279</v>
      </c>
      <c r="O79" s="13">
        <v>85378</v>
      </c>
      <c r="P79" s="13">
        <f t="shared" si="24"/>
        <v>150901</v>
      </c>
      <c r="Q79" s="13">
        <f t="shared" si="20"/>
        <v>509331</v>
      </c>
    </row>
    <row r="80" spans="1:17" s="10" customFormat="1" ht="12.75" customHeight="1" x14ac:dyDescent="0.2">
      <c r="A80" s="18" t="s">
        <v>79</v>
      </c>
      <c r="B80" s="13">
        <v>13094</v>
      </c>
      <c r="C80" s="13">
        <v>7131</v>
      </c>
      <c r="D80" s="13">
        <v>313236</v>
      </c>
      <c r="E80" s="13">
        <v>1398</v>
      </c>
      <c r="F80" s="13">
        <f t="shared" si="22"/>
        <v>332063</v>
      </c>
      <c r="G80" s="13">
        <v>57</v>
      </c>
      <c r="H80" s="28">
        <v>5047</v>
      </c>
      <c r="I80" s="13">
        <v>15769</v>
      </c>
      <c r="J80" s="21" t="s">
        <v>94</v>
      </c>
      <c r="K80" s="13">
        <f t="shared" si="23"/>
        <v>352936</v>
      </c>
      <c r="L80" s="28">
        <v>2344</v>
      </c>
      <c r="M80" s="13">
        <f t="shared" si="21"/>
        <v>351990</v>
      </c>
      <c r="N80" s="13">
        <v>204655</v>
      </c>
      <c r="O80" s="13">
        <v>73036</v>
      </c>
      <c r="P80" s="13">
        <f t="shared" si="24"/>
        <v>131619</v>
      </c>
      <c r="Q80" s="13">
        <f t="shared" si="20"/>
        <v>484555</v>
      </c>
    </row>
    <row r="81" spans="1:17" s="10" customFormat="1" ht="12.75" customHeight="1" x14ac:dyDescent="0.2">
      <c r="A81" s="18" t="s">
        <v>90</v>
      </c>
      <c r="B81" s="13">
        <v>13103</v>
      </c>
      <c r="C81" s="13">
        <v>7135</v>
      </c>
      <c r="D81" s="13">
        <v>363844</v>
      </c>
      <c r="E81" s="13">
        <v>3537</v>
      </c>
      <c r="F81" s="13">
        <f t="shared" si="22"/>
        <v>380545</v>
      </c>
      <c r="G81" s="13">
        <v>57</v>
      </c>
      <c r="H81" s="28">
        <v>5047</v>
      </c>
      <c r="I81" s="13">
        <v>15815</v>
      </c>
      <c r="J81" s="21" t="s">
        <v>94</v>
      </c>
      <c r="K81" s="13">
        <f t="shared" si="23"/>
        <v>401464</v>
      </c>
      <c r="L81" s="28">
        <v>2344</v>
      </c>
      <c r="M81" s="13">
        <f t="shared" si="21"/>
        <v>402657</v>
      </c>
      <c r="N81" s="13">
        <v>198769</v>
      </c>
      <c r="O81" s="13">
        <v>78009</v>
      </c>
      <c r="P81" s="13">
        <f t="shared" si="24"/>
        <v>120760</v>
      </c>
      <c r="Q81" s="13">
        <f t="shared" si="20"/>
        <v>522224</v>
      </c>
    </row>
    <row r="82" spans="1:17" s="10" customFormat="1" ht="12.75" customHeight="1" x14ac:dyDescent="0.2">
      <c r="A82" s="18" t="s">
        <v>91</v>
      </c>
      <c r="B82" s="13">
        <v>13210</v>
      </c>
      <c r="C82" s="13">
        <v>50810</v>
      </c>
      <c r="D82" s="13">
        <v>334131</v>
      </c>
      <c r="E82" s="13">
        <v>2408</v>
      </c>
      <c r="F82" s="13">
        <f t="shared" si="22"/>
        <v>395743</v>
      </c>
      <c r="G82" s="13">
        <v>58</v>
      </c>
      <c r="H82" s="29" t="s">
        <v>94</v>
      </c>
      <c r="I82" s="13">
        <v>15815</v>
      </c>
      <c r="J82" s="21" t="s">
        <v>94</v>
      </c>
      <c r="K82" s="13">
        <f t="shared" si="23"/>
        <v>411616</v>
      </c>
      <c r="L82" s="28">
        <v>2344</v>
      </c>
      <c r="M82" s="13">
        <f t="shared" si="21"/>
        <v>411680</v>
      </c>
      <c r="N82" s="13">
        <v>186248</v>
      </c>
      <c r="O82" s="13">
        <v>72742</v>
      </c>
      <c r="P82" s="13">
        <f t="shared" si="24"/>
        <v>113506</v>
      </c>
      <c r="Q82" s="13">
        <f t="shared" si="20"/>
        <v>525122</v>
      </c>
    </row>
    <row r="83" spans="1:17" s="10" customFormat="1" ht="12.75" customHeight="1" x14ac:dyDescent="0.2">
      <c r="A83" s="18" t="s">
        <v>80</v>
      </c>
      <c r="B83" s="13">
        <v>13364</v>
      </c>
      <c r="C83" s="13">
        <v>63945</v>
      </c>
      <c r="D83" s="13">
        <v>339644</v>
      </c>
      <c r="E83" s="13">
        <v>2143</v>
      </c>
      <c r="F83" s="13">
        <f t="shared" si="22"/>
        <v>414810</v>
      </c>
      <c r="G83" s="13">
        <v>57</v>
      </c>
      <c r="H83" s="21" t="s">
        <v>94</v>
      </c>
      <c r="I83" s="13">
        <v>16034</v>
      </c>
      <c r="J83" s="21" t="s">
        <v>94</v>
      </c>
      <c r="K83" s="13">
        <f t="shared" si="23"/>
        <v>430901</v>
      </c>
      <c r="L83" s="28">
        <v>10439</v>
      </c>
      <c r="M83" s="13">
        <f t="shared" si="21"/>
        <v>422605</v>
      </c>
      <c r="N83" s="13">
        <v>190385</v>
      </c>
      <c r="O83" s="13">
        <v>84302</v>
      </c>
      <c r="P83" s="13">
        <f t="shared" si="24"/>
        <v>106083</v>
      </c>
      <c r="Q83" s="13">
        <f t="shared" si="20"/>
        <v>536984</v>
      </c>
    </row>
    <row r="84" spans="1:17" s="10" customFormat="1" ht="12.75" customHeight="1" x14ac:dyDescent="0.2">
      <c r="A84" s="18" t="s">
        <v>92</v>
      </c>
      <c r="B84" s="13">
        <v>13411</v>
      </c>
      <c r="C84" s="13">
        <v>64168</v>
      </c>
      <c r="D84" s="13">
        <v>337405</v>
      </c>
      <c r="E84" s="13">
        <v>1571</v>
      </c>
      <c r="F84" s="13">
        <f t="shared" si="22"/>
        <v>413413</v>
      </c>
      <c r="G84" s="13">
        <v>51</v>
      </c>
      <c r="H84" s="21" t="s">
        <v>94</v>
      </c>
      <c r="I84" s="13">
        <v>16011</v>
      </c>
      <c r="J84" s="21" t="s">
        <v>94</v>
      </c>
      <c r="K84" s="13">
        <f t="shared" si="23"/>
        <v>429475</v>
      </c>
      <c r="L84" s="28">
        <v>10439</v>
      </c>
      <c r="M84" s="13">
        <f t="shared" si="21"/>
        <v>420607</v>
      </c>
      <c r="N84" s="13">
        <v>174762</v>
      </c>
      <c r="O84" s="13">
        <v>72575</v>
      </c>
      <c r="P84" s="13">
        <f t="shared" si="24"/>
        <v>102187</v>
      </c>
      <c r="Q84" s="13">
        <f t="shared" si="20"/>
        <v>531662</v>
      </c>
    </row>
    <row r="85" spans="1:17" s="10" customFormat="1" ht="12.75" customHeight="1" x14ac:dyDescent="0.2">
      <c r="A85" s="18" t="s">
        <v>93</v>
      </c>
      <c r="B85" s="13">
        <v>13582</v>
      </c>
      <c r="C85" s="13">
        <v>64950</v>
      </c>
      <c r="D85" s="13">
        <v>342014</v>
      </c>
      <c r="E85" s="13">
        <v>1408</v>
      </c>
      <c r="F85" s="13">
        <f t="shared" si="22"/>
        <v>419138</v>
      </c>
      <c r="G85" s="13">
        <v>51</v>
      </c>
      <c r="H85" s="21" t="s">
        <v>94</v>
      </c>
      <c r="I85" s="13">
        <v>16176</v>
      </c>
      <c r="J85" s="21" t="s">
        <v>94</v>
      </c>
      <c r="K85" s="13">
        <f t="shared" si="23"/>
        <v>435365</v>
      </c>
      <c r="L85" s="28">
        <v>10481</v>
      </c>
      <c r="M85" s="13">
        <f t="shared" si="21"/>
        <v>426292</v>
      </c>
      <c r="N85" s="13">
        <v>186173</v>
      </c>
      <c r="O85" s="13">
        <v>69912</v>
      </c>
      <c r="P85" s="13">
        <f t="shared" si="24"/>
        <v>116261</v>
      </c>
      <c r="Q85" s="13">
        <f t="shared" si="20"/>
        <v>551626</v>
      </c>
    </row>
    <row r="86" spans="1:17" s="10" customFormat="1" ht="12.75" customHeight="1" x14ac:dyDescent="0.2">
      <c r="A86" s="18" t="s">
        <v>81</v>
      </c>
      <c r="B86" s="13">
        <v>13224</v>
      </c>
      <c r="C86" s="13">
        <v>63236</v>
      </c>
      <c r="D86" s="13">
        <v>343352</v>
      </c>
      <c r="E86" s="13">
        <v>1059</v>
      </c>
      <c r="F86" s="13">
        <f t="shared" si="22"/>
        <v>418753</v>
      </c>
      <c r="G86" s="13">
        <v>50</v>
      </c>
      <c r="H86" s="21" t="s">
        <v>94</v>
      </c>
      <c r="I86" s="13">
        <v>15841</v>
      </c>
      <c r="J86" s="21" t="s">
        <v>94</v>
      </c>
      <c r="K86" s="13">
        <f t="shared" si="23"/>
        <v>434644</v>
      </c>
      <c r="L86" s="28">
        <v>10410</v>
      </c>
      <c r="M86" s="13">
        <f t="shared" ref="M86:M99" si="25">B86+C86+D86+G86+H86+I86+J86-L86</f>
        <v>425293</v>
      </c>
      <c r="N86" s="13">
        <v>203943</v>
      </c>
      <c r="O86" s="13">
        <v>74152</v>
      </c>
      <c r="P86" s="13">
        <f t="shared" si="24"/>
        <v>129791</v>
      </c>
      <c r="Q86" s="13">
        <f t="shared" si="20"/>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6">B88+C88+D88-E88</f>
        <v>408771</v>
      </c>
      <c r="G88" s="30">
        <v>49</v>
      </c>
      <c r="H88" s="21" t="s">
        <v>94</v>
      </c>
      <c r="I88" s="30">
        <v>16029</v>
      </c>
      <c r="J88" s="21" t="s">
        <v>94</v>
      </c>
      <c r="K88" s="13">
        <f t="shared" ref="K88:K99" si="27">F88+G88+H88+I88+J88</f>
        <v>424849</v>
      </c>
      <c r="L88" s="31">
        <v>10463</v>
      </c>
      <c r="M88" s="13">
        <f t="shared" si="25"/>
        <v>416849</v>
      </c>
      <c r="N88" s="30">
        <v>208508</v>
      </c>
      <c r="O88" s="30">
        <v>73773</v>
      </c>
      <c r="P88" s="30">
        <f t="shared" si="24"/>
        <v>134735</v>
      </c>
      <c r="Q88" s="30">
        <f t="shared" si="20"/>
        <v>559584</v>
      </c>
    </row>
    <row r="89" spans="1:17" s="10" customFormat="1" ht="12.75" x14ac:dyDescent="0.2">
      <c r="A89" s="18" t="s">
        <v>87</v>
      </c>
      <c r="B89" s="30">
        <v>12928</v>
      </c>
      <c r="C89" s="30">
        <v>61785</v>
      </c>
      <c r="D89" s="30">
        <v>320813</v>
      </c>
      <c r="E89" s="30">
        <v>1367</v>
      </c>
      <c r="F89" s="30">
        <f t="shared" si="26"/>
        <v>394159</v>
      </c>
      <c r="G89" s="30">
        <v>47</v>
      </c>
      <c r="H89" s="21" t="s">
        <v>94</v>
      </c>
      <c r="I89" s="30">
        <v>16044</v>
      </c>
      <c r="J89" s="21" t="s">
        <v>94</v>
      </c>
      <c r="K89" s="13">
        <f t="shared" si="27"/>
        <v>410250</v>
      </c>
      <c r="L89" s="31">
        <v>10260</v>
      </c>
      <c r="M89" s="13">
        <f t="shared" si="25"/>
        <v>401357</v>
      </c>
      <c r="N89" s="30">
        <v>232191</v>
      </c>
      <c r="O89" s="30">
        <v>65152</v>
      </c>
      <c r="P89" s="30">
        <f t="shared" si="24"/>
        <v>167039</v>
      </c>
      <c r="Q89" s="30">
        <f t="shared" si="20"/>
        <v>577289</v>
      </c>
    </row>
    <row r="90" spans="1:17" s="10" customFormat="1" ht="12.75" x14ac:dyDescent="0.2">
      <c r="A90" s="18" t="s">
        <v>78</v>
      </c>
      <c r="B90" s="30">
        <v>12807</v>
      </c>
      <c r="C90" s="30">
        <v>61207</v>
      </c>
      <c r="D90" s="30">
        <v>331903</v>
      </c>
      <c r="E90" s="30">
        <v>993</v>
      </c>
      <c r="F90" s="30">
        <f t="shared" si="26"/>
        <v>404924</v>
      </c>
      <c r="G90" s="30">
        <v>45</v>
      </c>
      <c r="H90" s="21" t="s">
        <v>94</v>
      </c>
      <c r="I90" s="30">
        <v>15955</v>
      </c>
      <c r="J90" s="21" t="s">
        <v>94</v>
      </c>
      <c r="K90" s="13">
        <f t="shared" si="27"/>
        <v>420924</v>
      </c>
      <c r="L90" s="31">
        <v>10314</v>
      </c>
      <c r="M90" s="13">
        <f t="shared" si="25"/>
        <v>411603</v>
      </c>
      <c r="N90" s="30">
        <v>249235</v>
      </c>
      <c r="O90" s="30">
        <v>48838</v>
      </c>
      <c r="P90" s="30">
        <f t="shared" si="24"/>
        <v>200397</v>
      </c>
      <c r="Q90" s="30">
        <f t="shared" si="20"/>
        <v>621321</v>
      </c>
    </row>
    <row r="91" spans="1:17" s="10" customFormat="1" ht="12.75" x14ac:dyDescent="0.2">
      <c r="A91" s="18" t="s">
        <v>88</v>
      </c>
      <c r="B91" s="30">
        <v>12747</v>
      </c>
      <c r="C91" s="30">
        <v>60920</v>
      </c>
      <c r="D91" s="30">
        <v>340345</v>
      </c>
      <c r="E91" s="30">
        <v>1238</v>
      </c>
      <c r="F91" s="30">
        <f t="shared" si="26"/>
        <v>412774</v>
      </c>
      <c r="G91" s="30">
        <v>46</v>
      </c>
      <c r="H91" s="21" t="s">
        <v>94</v>
      </c>
      <c r="I91" s="30">
        <v>16080</v>
      </c>
      <c r="J91" s="21" t="s">
        <v>94</v>
      </c>
      <c r="K91" s="13">
        <f t="shared" si="27"/>
        <v>428900</v>
      </c>
      <c r="L91" s="31">
        <v>10366</v>
      </c>
      <c r="M91" s="13">
        <f t="shared" si="25"/>
        <v>419772</v>
      </c>
      <c r="N91" s="30">
        <v>231663</v>
      </c>
      <c r="O91" s="30">
        <v>45091</v>
      </c>
      <c r="P91" s="30">
        <f t="shared" si="24"/>
        <v>186572</v>
      </c>
      <c r="Q91" s="30">
        <f t="shared" si="20"/>
        <v>615472</v>
      </c>
    </row>
    <row r="92" spans="1:17" s="10" customFormat="1" ht="12.75" x14ac:dyDescent="0.2">
      <c r="A92" s="18" t="s">
        <v>89</v>
      </c>
      <c r="B92" s="30">
        <v>12436</v>
      </c>
      <c r="C92" s="30">
        <v>59404</v>
      </c>
      <c r="D92" s="30">
        <v>344868</v>
      </c>
      <c r="E92" s="30">
        <v>1655</v>
      </c>
      <c r="F92" s="30">
        <f t="shared" si="26"/>
        <v>415053</v>
      </c>
      <c r="G92" s="30">
        <v>44</v>
      </c>
      <c r="H92" s="21" t="s">
        <v>94</v>
      </c>
      <c r="I92" s="30">
        <v>16321</v>
      </c>
      <c r="J92" s="21" t="s">
        <v>94</v>
      </c>
      <c r="K92" s="13">
        <f t="shared" si="27"/>
        <v>431418</v>
      </c>
      <c r="L92" s="31">
        <v>10419</v>
      </c>
      <c r="M92" s="13">
        <f t="shared" si="25"/>
        <v>422654</v>
      </c>
      <c r="N92" s="30">
        <v>234305</v>
      </c>
      <c r="O92" s="30">
        <v>41559</v>
      </c>
      <c r="P92" s="30">
        <f t="shared" si="24"/>
        <v>192746</v>
      </c>
      <c r="Q92" s="30">
        <f t="shared" si="20"/>
        <v>624164</v>
      </c>
    </row>
    <row r="93" spans="1:17" s="10" customFormat="1" ht="12.75" x14ac:dyDescent="0.2">
      <c r="A93" s="18" t="s">
        <v>79</v>
      </c>
      <c r="B93" s="30">
        <v>12475</v>
      </c>
      <c r="C93" s="30">
        <v>59588</v>
      </c>
      <c r="D93" s="30">
        <v>364627</v>
      </c>
      <c r="E93" s="30">
        <v>1767</v>
      </c>
      <c r="F93" s="30">
        <f t="shared" si="26"/>
        <v>434923</v>
      </c>
      <c r="G93" s="30">
        <v>44</v>
      </c>
      <c r="H93" s="21" t="s">
        <v>94</v>
      </c>
      <c r="I93" s="30">
        <v>16578</v>
      </c>
      <c r="J93" s="21" t="s">
        <v>94</v>
      </c>
      <c r="K93" s="13">
        <f t="shared" si="27"/>
        <v>451545</v>
      </c>
      <c r="L93" s="31">
        <v>10474</v>
      </c>
      <c r="M93" s="13">
        <f t="shared" si="25"/>
        <v>442838</v>
      </c>
      <c r="N93" s="30">
        <v>240032</v>
      </c>
      <c r="O93" s="30">
        <v>43535</v>
      </c>
      <c r="P93" s="30">
        <f t="shared" si="24"/>
        <v>196497</v>
      </c>
      <c r="Q93" s="30">
        <f t="shared" si="20"/>
        <v>648042</v>
      </c>
    </row>
    <row r="94" spans="1:17" s="10" customFormat="1" ht="12.75" x14ac:dyDescent="0.2">
      <c r="A94" s="18" t="s">
        <v>90</v>
      </c>
      <c r="B94" s="30">
        <v>12809</v>
      </c>
      <c r="C94" s="30">
        <v>61184</v>
      </c>
      <c r="D94" s="30">
        <v>382481</v>
      </c>
      <c r="E94" s="30">
        <v>2863</v>
      </c>
      <c r="F94" s="30">
        <f t="shared" si="26"/>
        <v>453611</v>
      </c>
      <c r="G94" s="30">
        <v>46</v>
      </c>
      <c r="H94" s="21" t="s">
        <v>94</v>
      </c>
      <c r="I94" s="30">
        <v>16659</v>
      </c>
      <c r="J94" s="21" t="s">
        <v>94</v>
      </c>
      <c r="K94" s="13">
        <f t="shared" si="27"/>
        <v>470316</v>
      </c>
      <c r="L94" s="31">
        <v>10524</v>
      </c>
      <c r="M94" s="13">
        <f t="shared" si="25"/>
        <v>462655</v>
      </c>
      <c r="N94" s="30">
        <v>238294</v>
      </c>
      <c r="O94" s="30">
        <v>43464</v>
      </c>
      <c r="P94" s="30">
        <f t="shared" si="24"/>
        <v>194830</v>
      </c>
      <c r="Q94" s="30">
        <f t="shared" si="20"/>
        <v>665146</v>
      </c>
    </row>
    <row r="95" spans="1:17" s="10" customFormat="1" ht="12.75" x14ac:dyDescent="0.2">
      <c r="A95" s="18" t="s">
        <v>91</v>
      </c>
      <c r="B95" s="30">
        <v>12728</v>
      </c>
      <c r="C95" s="30">
        <v>60763</v>
      </c>
      <c r="D95" s="30">
        <v>356776</v>
      </c>
      <c r="E95" s="30">
        <v>1661</v>
      </c>
      <c r="F95" s="30">
        <f t="shared" si="26"/>
        <v>428606</v>
      </c>
      <c r="G95" s="30">
        <v>47</v>
      </c>
      <c r="H95" s="21" t="s">
        <v>94</v>
      </c>
      <c r="I95" s="30">
        <v>16933</v>
      </c>
      <c r="J95" s="21" t="s">
        <v>94</v>
      </c>
      <c r="K95" s="13">
        <f t="shared" si="27"/>
        <v>445586</v>
      </c>
      <c r="L95" s="31">
        <v>14539</v>
      </c>
      <c r="M95" s="13">
        <f t="shared" si="25"/>
        <v>432708</v>
      </c>
      <c r="N95" s="30">
        <v>227589</v>
      </c>
      <c r="O95" s="30">
        <v>35689</v>
      </c>
      <c r="P95" s="30">
        <f t="shared" si="24"/>
        <v>191900</v>
      </c>
      <c r="Q95" s="30">
        <f t="shared" si="20"/>
        <v>637486</v>
      </c>
    </row>
    <row r="96" spans="1:17" s="10" customFormat="1" ht="12.75" x14ac:dyDescent="0.2">
      <c r="A96" s="18" t="s">
        <v>80</v>
      </c>
      <c r="B96" s="30">
        <v>13127</v>
      </c>
      <c r="C96" s="30">
        <v>62667</v>
      </c>
      <c r="D96" s="30">
        <v>353799</v>
      </c>
      <c r="E96" s="30">
        <v>1733</v>
      </c>
      <c r="F96" s="30">
        <f t="shared" si="26"/>
        <v>427860</v>
      </c>
      <c r="G96" s="30">
        <v>46</v>
      </c>
      <c r="H96" s="21" t="s">
        <v>94</v>
      </c>
      <c r="I96" s="30">
        <v>16935</v>
      </c>
      <c r="J96" s="21" t="s">
        <v>94</v>
      </c>
      <c r="K96" s="13">
        <f t="shared" si="27"/>
        <v>444841</v>
      </c>
      <c r="L96" s="31">
        <v>14609</v>
      </c>
      <c r="M96" s="13">
        <f t="shared" si="25"/>
        <v>431965</v>
      </c>
      <c r="N96" s="30">
        <v>220227</v>
      </c>
      <c r="O96" s="30">
        <v>29091</v>
      </c>
      <c r="P96" s="30">
        <f t="shared" si="24"/>
        <v>191136</v>
      </c>
      <c r="Q96" s="30">
        <f t="shared" si="20"/>
        <v>635977</v>
      </c>
    </row>
    <row r="97" spans="1:17" s="10" customFormat="1" ht="12.75" x14ac:dyDescent="0.2">
      <c r="A97" s="18" t="s">
        <v>92</v>
      </c>
      <c r="B97" s="30">
        <v>13258</v>
      </c>
      <c r="C97" s="30">
        <v>63295</v>
      </c>
      <c r="D97" s="30">
        <v>348937</v>
      </c>
      <c r="E97" s="30">
        <v>2144</v>
      </c>
      <c r="F97" s="30">
        <f t="shared" si="26"/>
        <v>423346</v>
      </c>
      <c r="G97" s="30">
        <v>47</v>
      </c>
      <c r="H97" s="21" t="s">
        <v>94</v>
      </c>
      <c r="I97" s="30">
        <v>16893</v>
      </c>
      <c r="J97" s="21" t="s">
        <v>94</v>
      </c>
      <c r="K97" s="13">
        <f t="shared" si="27"/>
        <v>440286</v>
      </c>
      <c r="L97" s="31">
        <v>14682</v>
      </c>
      <c r="M97" s="13">
        <f t="shared" si="25"/>
        <v>427748</v>
      </c>
      <c r="N97" s="30">
        <v>210281</v>
      </c>
      <c r="O97" s="30">
        <v>49955</v>
      </c>
      <c r="P97" s="30">
        <f t="shared" si="24"/>
        <v>160326</v>
      </c>
      <c r="Q97" s="30">
        <f t="shared" si="20"/>
        <v>600612</v>
      </c>
    </row>
    <row r="98" spans="1:17" s="10" customFormat="1" ht="12.75" x14ac:dyDescent="0.2">
      <c r="A98" s="18" t="s">
        <v>93</v>
      </c>
      <c r="B98" s="30">
        <v>12870</v>
      </c>
      <c r="C98" s="30">
        <v>61408</v>
      </c>
      <c r="D98" s="30">
        <v>352647</v>
      </c>
      <c r="E98" s="30">
        <v>2294</v>
      </c>
      <c r="F98" s="30">
        <f t="shared" si="26"/>
        <v>424631</v>
      </c>
      <c r="G98" s="30">
        <v>40</v>
      </c>
      <c r="H98" s="21" t="s">
        <v>94</v>
      </c>
      <c r="I98" s="30">
        <v>16830</v>
      </c>
      <c r="J98" s="21" t="s">
        <v>94</v>
      </c>
      <c r="K98" s="13">
        <f t="shared" si="27"/>
        <v>441501</v>
      </c>
      <c r="L98" s="31">
        <v>14692</v>
      </c>
      <c r="M98" s="13">
        <f t="shared" si="25"/>
        <v>429103</v>
      </c>
      <c r="N98" s="30">
        <v>213567</v>
      </c>
      <c r="O98" s="30">
        <v>49811</v>
      </c>
      <c r="P98" s="30">
        <f t="shared" si="24"/>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7"/>
        <v>445593</v>
      </c>
      <c r="L99" s="31">
        <v>14765</v>
      </c>
      <c r="M99" s="13">
        <f t="shared" si="25"/>
        <v>433908</v>
      </c>
      <c r="N99" s="30">
        <v>226491</v>
      </c>
      <c r="O99" s="30">
        <v>44358</v>
      </c>
      <c r="P99" s="30">
        <f t="shared" si="24"/>
        <v>182133</v>
      </c>
      <c r="Q99" s="30">
        <f>K99+P99</f>
        <v>627726</v>
      </c>
    </row>
    <row r="100" spans="1:17" s="10" customFormat="1" ht="12.75" x14ac:dyDescent="0.2">
      <c r="A100" s="18"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8">B101+C101+D101-E101</f>
        <v>421271</v>
      </c>
      <c r="G101" s="30">
        <v>39</v>
      </c>
      <c r="H101" s="21" t="s">
        <v>94</v>
      </c>
      <c r="I101" s="30">
        <v>16615</v>
      </c>
      <c r="J101" s="21" t="s">
        <v>94</v>
      </c>
      <c r="K101" s="13">
        <f t="shared" ref="K101:K137" si="29">F101+G101+H101+I101+J101</f>
        <v>437925</v>
      </c>
      <c r="L101" s="31">
        <v>14838.637720000001</v>
      </c>
      <c r="M101" s="13">
        <f>B101+C101+D101+G101+H101+I101+J101-L101</f>
        <v>425938.36228</v>
      </c>
      <c r="N101" s="30">
        <v>247993</v>
      </c>
      <c r="O101" s="30">
        <v>41981</v>
      </c>
      <c r="P101" s="30">
        <f t="shared" ref="P101:P107" si="30">N101-O101</f>
        <v>206012</v>
      </c>
      <c r="Q101" s="30">
        <f t="shared" ref="Q101:Q107" si="31">K101+P101</f>
        <v>643937</v>
      </c>
    </row>
    <row r="102" spans="1:17" s="10" customFormat="1" ht="12.75" x14ac:dyDescent="0.2">
      <c r="A102" s="18" t="s">
        <v>87</v>
      </c>
      <c r="B102" s="30">
        <v>13269</v>
      </c>
      <c r="C102" s="30">
        <v>63276</v>
      </c>
      <c r="D102" s="30">
        <v>311056</v>
      </c>
      <c r="E102" s="30">
        <v>1686</v>
      </c>
      <c r="F102" s="30">
        <f t="shared" si="28"/>
        <v>385915</v>
      </c>
      <c r="G102" s="30">
        <v>40</v>
      </c>
      <c r="H102" s="21" t="s">
        <v>94</v>
      </c>
      <c r="I102" s="30">
        <v>16595</v>
      </c>
      <c r="J102" s="21" t="s">
        <v>94</v>
      </c>
      <c r="K102" s="13">
        <f t="shared" si="29"/>
        <v>402550</v>
      </c>
      <c r="L102" s="31">
        <v>14530.55824</v>
      </c>
      <c r="M102" s="13">
        <f>B102+C102+D102+G102+H102+I102+J102-L102</f>
        <v>389705.44176000002</v>
      </c>
      <c r="N102" s="30">
        <v>259807</v>
      </c>
      <c r="O102" s="30">
        <v>35466</v>
      </c>
      <c r="P102" s="30">
        <f t="shared" si="30"/>
        <v>224341</v>
      </c>
      <c r="Q102" s="30">
        <f t="shared" si="31"/>
        <v>626891</v>
      </c>
    </row>
    <row r="103" spans="1:17" s="10" customFormat="1" ht="12.75" x14ac:dyDescent="0.2">
      <c r="A103" s="18" t="s">
        <v>78</v>
      </c>
      <c r="B103" s="30">
        <v>13374</v>
      </c>
      <c r="C103" s="30">
        <v>63777</v>
      </c>
      <c r="D103" s="30">
        <v>337154</v>
      </c>
      <c r="E103" s="30">
        <v>1635</v>
      </c>
      <c r="F103" s="30">
        <f t="shared" si="28"/>
        <v>412670</v>
      </c>
      <c r="G103" s="30">
        <v>40</v>
      </c>
      <c r="H103" s="21" t="s">
        <v>94</v>
      </c>
      <c r="I103" s="30">
        <v>16580</v>
      </c>
      <c r="J103" s="21" t="s">
        <v>94</v>
      </c>
      <c r="K103" s="13">
        <f t="shared" si="29"/>
        <v>429290</v>
      </c>
      <c r="L103" s="31">
        <v>14599.304099999999</v>
      </c>
      <c r="M103" s="13">
        <f>B103+C103+D103+G103+H103+I103+J103-L103</f>
        <v>416325.69589999999</v>
      </c>
      <c r="N103" s="32">
        <v>293306</v>
      </c>
      <c r="O103" s="32">
        <v>37288</v>
      </c>
      <c r="P103" s="30">
        <f t="shared" si="30"/>
        <v>256018</v>
      </c>
      <c r="Q103" s="30">
        <f t="shared" si="31"/>
        <v>685308</v>
      </c>
    </row>
    <row r="104" spans="1:17" s="10" customFormat="1" ht="12.75" x14ac:dyDescent="0.2">
      <c r="A104" s="18" t="s">
        <v>88</v>
      </c>
      <c r="B104" s="30">
        <v>13673</v>
      </c>
      <c r="C104" s="30">
        <v>65203</v>
      </c>
      <c r="D104" s="30">
        <v>347093</v>
      </c>
      <c r="E104" s="30">
        <v>1792</v>
      </c>
      <c r="F104" s="30">
        <f t="shared" si="28"/>
        <v>424177</v>
      </c>
      <c r="G104" s="30">
        <v>41</v>
      </c>
      <c r="H104" s="21" t="s">
        <v>94</v>
      </c>
      <c r="I104" s="30">
        <v>16709</v>
      </c>
      <c r="J104" s="21" t="s">
        <v>94</v>
      </c>
      <c r="K104" s="13">
        <f t="shared" si="29"/>
        <v>440927</v>
      </c>
      <c r="L104" s="31">
        <v>14684.285540000001</v>
      </c>
      <c r="M104" s="13">
        <f t="shared" ref="M104:M117" si="32">B104+C104+D104+G104+H104+I104+J104-L104</f>
        <v>428034.71445999999</v>
      </c>
      <c r="N104" s="30">
        <v>299234</v>
      </c>
      <c r="O104" s="30">
        <v>30548</v>
      </c>
      <c r="P104" s="30">
        <f t="shared" si="30"/>
        <v>268686</v>
      </c>
      <c r="Q104" s="30">
        <f t="shared" si="31"/>
        <v>709613</v>
      </c>
    </row>
    <row r="105" spans="1:17" s="10" customFormat="1" ht="12.75" x14ac:dyDescent="0.2">
      <c r="A105" s="18" t="s">
        <v>89</v>
      </c>
      <c r="B105" s="30">
        <v>13503</v>
      </c>
      <c r="C105" s="30">
        <v>64357</v>
      </c>
      <c r="D105" s="30">
        <v>377427</v>
      </c>
      <c r="E105" s="30">
        <v>3740</v>
      </c>
      <c r="F105" s="30">
        <f t="shared" si="28"/>
        <v>451547</v>
      </c>
      <c r="G105" s="30">
        <v>40</v>
      </c>
      <c r="H105" s="21" t="s">
        <v>94</v>
      </c>
      <c r="I105" s="30">
        <v>16882</v>
      </c>
      <c r="J105" s="21" t="s">
        <v>94</v>
      </c>
      <c r="K105" s="13">
        <f t="shared" si="29"/>
        <v>468469</v>
      </c>
      <c r="L105" s="31">
        <v>14412.559859999999</v>
      </c>
      <c r="M105" s="13">
        <f t="shared" si="32"/>
        <v>457796.44014000002</v>
      </c>
      <c r="N105" s="30">
        <v>302914</v>
      </c>
      <c r="O105" s="30">
        <v>33956</v>
      </c>
      <c r="P105" s="30">
        <f t="shared" si="30"/>
        <v>268958</v>
      </c>
      <c r="Q105" s="30">
        <f t="shared" si="31"/>
        <v>737427</v>
      </c>
    </row>
    <row r="106" spans="1:17" s="10" customFormat="1" ht="12.75" x14ac:dyDescent="0.2">
      <c r="A106" s="18" t="s">
        <v>79</v>
      </c>
      <c r="B106" s="30">
        <v>13500</v>
      </c>
      <c r="C106" s="30">
        <v>64344</v>
      </c>
      <c r="D106" s="30">
        <v>370235</v>
      </c>
      <c r="E106" s="30">
        <v>1636</v>
      </c>
      <c r="F106" s="30">
        <f t="shared" si="28"/>
        <v>446443</v>
      </c>
      <c r="G106" s="30">
        <v>40</v>
      </c>
      <c r="H106" s="21" t="s">
        <v>94</v>
      </c>
      <c r="I106" s="30">
        <v>16858</v>
      </c>
      <c r="J106" s="21" t="s">
        <v>94</v>
      </c>
      <c r="K106" s="13">
        <f t="shared" si="29"/>
        <v>463341</v>
      </c>
      <c r="L106" s="31">
        <v>14500.11794</v>
      </c>
      <c r="M106" s="13">
        <f t="shared" si="32"/>
        <v>450476.88205999997</v>
      </c>
      <c r="N106" s="32">
        <v>300160</v>
      </c>
      <c r="O106" s="32">
        <v>31550</v>
      </c>
      <c r="P106" s="30">
        <f t="shared" si="30"/>
        <v>268610</v>
      </c>
      <c r="Q106" s="30">
        <f t="shared" si="31"/>
        <v>731951</v>
      </c>
    </row>
    <row r="107" spans="1:17" s="10" customFormat="1" ht="12.75" x14ac:dyDescent="0.2">
      <c r="A107" s="18" t="s">
        <v>90</v>
      </c>
      <c r="B107" s="30">
        <v>13488</v>
      </c>
      <c r="C107" s="30">
        <v>64286</v>
      </c>
      <c r="D107" s="30">
        <v>403543</v>
      </c>
      <c r="E107" s="30">
        <v>2163</v>
      </c>
      <c r="F107" s="30">
        <f t="shared" si="28"/>
        <v>479154</v>
      </c>
      <c r="G107" s="30">
        <v>40</v>
      </c>
      <c r="H107" s="21" t="s">
        <v>94</v>
      </c>
      <c r="I107" s="30">
        <v>17050</v>
      </c>
      <c r="J107" s="21" t="s">
        <v>94</v>
      </c>
      <c r="K107" s="13">
        <f t="shared" si="29"/>
        <v>496244</v>
      </c>
      <c r="L107" s="31">
        <v>14596.48266</v>
      </c>
      <c r="M107" s="13">
        <f t="shared" si="32"/>
        <v>483810.51734000002</v>
      </c>
      <c r="N107" s="30">
        <v>316657</v>
      </c>
      <c r="O107" s="30">
        <v>31526</v>
      </c>
      <c r="P107" s="30">
        <f t="shared" si="30"/>
        <v>285131</v>
      </c>
      <c r="Q107" s="30">
        <f t="shared" si="31"/>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9"/>
        <v>467245</v>
      </c>
      <c r="L108" s="31">
        <v>13997.7163</v>
      </c>
      <c r="M108" s="13">
        <f t="shared" si="32"/>
        <v>456738.28370000003</v>
      </c>
      <c r="N108" s="30">
        <v>304015</v>
      </c>
      <c r="O108" s="30">
        <v>33963</v>
      </c>
      <c r="P108" s="30">
        <f t="shared" ref="P108" si="33">N108-O108</f>
        <v>270052</v>
      </c>
      <c r="Q108" s="30">
        <f t="shared" ref="Q108" si="34">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9"/>
        <v>486196</v>
      </c>
      <c r="L109" s="31">
        <v>14067.334580000001</v>
      </c>
      <c r="M109" s="13">
        <f t="shared" si="32"/>
        <v>474096.66541999998</v>
      </c>
      <c r="N109" s="30">
        <v>269123</v>
      </c>
      <c r="O109" s="30">
        <v>33008</v>
      </c>
      <c r="P109" s="30">
        <f t="shared" ref="P109:P111" si="35">N109-O109</f>
        <v>236115</v>
      </c>
      <c r="Q109" s="30">
        <f t="shared" ref="Q109:Q111" si="36">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9"/>
        <v>493255</v>
      </c>
      <c r="L110" s="31">
        <v>14182.572120000001</v>
      </c>
      <c r="M110" s="13">
        <f t="shared" si="32"/>
        <v>481712.42787999997</v>
      </c>
      <c r="N110" s="30">
        <v>258973</v>
      </c>
      <c r="O110" s="30">
        <v>31449</v>
      </c>
      <c r="P110" s="30">
        <f t="shared" si="35"/>
        <v>227524</v>
      </c>
      <c r="Q110" s="30">
        <f t="shared" si="36"/>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9"/>
        <v>512013</v>
      </c>
      <c r="L111" s="31">
        <v>13906.74094</v>
      </c>
      <c r="M111" s="13">
        <f t="shared" si="32"/>
        <v>499890.25906000001</v>
      </c>
      <c r="N111" s="30">
        <v>255752</v>
      </c>
      <c r="O111" s="30">
        <v>33135</v>
      </c>
      <c r="P111" s="30">
        <f t="shared" si="35"/>
        <v>222617</v>
      </c>
      <c r="Q111" s="30">
        <f t="shared" si="36"/>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9"/>
        <v>499365</v>
      </c>
      <c r="L112" s="31">
        <v>14010.827359999999</v>
      </c>
      <c r="M112" s="13">
        <f t="shared" si="32"/>
        <v>487053.17264</v>
      </c>
      <c r="N112" s="30">
        <v>274449</v>
      </c>
      <c r="O112" s="30">
        <v>20493</v>
      </c>
      <c r="P112" s="30">
        <f t="shared" ref="P112" si="37">N112-O112</f>
        <v>253956</v>
      </c>
      <c r="Q112" s="30">
        <f t="shared" ref="Q112" si="38">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9">B114+C114+D114-E114</f>
        <v>488560</v>
      </c>
      <c r="G114" s="30">
        <v>30</v>
      </c>
      <c r="H114" s="21" t="s">
        <v>94</v>
      </c>
      <c r="I114" s="30">
        <v>17653</v>
      </c>
      <c r="J114" s="21" t="s">
        <v>94</v>
      </c>
      <c r="K114" s="13">
        <f t="shared" si="29"/>
        <v>506243</v>
      </c>
      <c r="L114" s="31">
        <v>14114.913780000001</v>
      </c>
      <c r="M114" s="13">
        <f t="shared" si="32"/>
        <v>495329.08622</v>
      </c>
      <c r="N114" s="30">
        <v>280778</v>
      </c>
      <c r="O114" s="30">
        <v>16460</v>
      </c>
      <c r="P114" s="30">
        <f t="shared" ref="P114:P115" si="40">N114-O114</f>
        <v>264318</v>
      </c>
      <c r="Q114" s="30">
        <f>K114+P114</f>
        <v>770561</v>
      </c>
    </row>
    <row r="115" spans="1:17" s="10" customFormat="1" ht="12.75" x14ac:dyDescent="0.2">
      <c r="A115" s="18" t="s">
        <v>87</v>
      </c>
      <c r="B115" s="30">
        <v>13125</v>
      </c>
      <c r="C115" s="30">
        <v>62454</v>
      </c>
      <c r="D115" s="30">
        <v>388776</v>
      </c>
      <c r="E115" s="30">
        <v>1454</v>
      </c>
      <c r="F115" s="30">
        <f t="shared" si="39"/>
        <v>462901</v>
      </c>
      <c r="G115" s="30">
        <v>31</v>
      </c>
      <c r="H115" s="21" t="s">
        <v>94</v>
      </c>
      <c r="I115" s="30">
        <v>17627</v>
      </c>
      <c r="J115" s="21" t="s">
        <v>94</v>
      </c>
      <c r="K115" s="13">
        <f t="shared" si="29"/>
        <v>480559</v>
      </c>
      <c r="L115" s="31">
        <v>13470.243899999999</v>
      </c>
      <c r="M115" s="13">
        <f t="shared" si="32"/>
        <v>468542.7561</v>
      </c>
      <c r="N115" s="30">
        <v>307585</v>
      </c>
      <c r="O115" s="30">
        <v>10549</v>
      </c>
      <c r="P115" s="30">
        <f t="shared" si="40"/>
        <v>297036</v>
      </c>
      <c r="Q115" s="30">
        <f t="shared" ref="Q115" si="41">K115+P115</f>
        <v>777595</v>
      </c>
    </row>
    <row r="116" spans="1:17" s="10" customFormat="1" ht="12.75" x14ac:dyDescent="0.2">
      <c r="A116" s="18" t="s">
        <v>78</v>
      </c>
      <c r="B116" s="30">
        <v>13067</v>
      </c>
      <c r="C116" s="30">
        <v>62175</v>
      </c>
      <c r="D116" s="30">
        <v>410658</v>
      </c>
      <c r="E116" s="30">
        <v>1313</v>
      </c>
      <c r="F116" s="30">
        <f t="shared" si="39"/>
        <v>484587</v>
      </c>
      <c r="G116" s="30">
        <v>31</v>
      </c>
      <c r="H116" s="21" t="s">
        <v>94</v>
      </c>
      <c r="I116" s="30">
        <v>17558</v>
      </c>
      <c r="J116" s="21" t="s">
        <v>94</v>
      </c>
      <c r="K116" s="13">
        <f t="shared" si="29"/>
        <v>502176</v>
      </c>
      <c r="L116" s="31">
        <v>13518.647139999999</v>
      </c>
      <c r="M116" s="13">
        <f t="shared" si="32"/>
        <v>489970.35285999998</v>
      </c>
      <c r="N116" s="30">
        <v>328928</v>
      </c>
      <c r="O116" s="30">
        <v>8257</v>
      </c>
      <c r="P116" s="30">
        <f t="shared" ref="P116:P117" si="42">N116-O116</f>
        <v>320671</v>
      </c>
      <c r="Q116" s="30">
        <f t="shared" ref="Q116:Q117" si="43">K116+P116</f>
        <v>822847</v>
      </c>
    </row>
    <row r="117" spans="1:17" s="10" customFormat="1" ht="12.75" x14ac:dyDescent="0.2">
      <c r="A117" s="18" t="s">
        <v>88</v>
      </c>
      <c r="B117" s="30">
        <v>13079</v>
      </c>
      <c r="C117" s="30">
        <v>62234</v>
      </c>
      <c r="D117" s="30">
        <v>413334</v>
      </c>
      <c r="E117" s="30">
        <v>1536</v>
      </c>
      <c r="F117" s="30">
        <f t="shared" si="39"/>
        <v>487111</v>
      </c>
      <c r="G117" s="30">
        <v>31</v>
      </c>
      <c r="H117" s="21" t="s">
        <v>94</v>
      </c>
      <c r="I117" s="30">
        <v>17651</v>
      </c>
      <c r="J117" s="21" t="s">
        <v>94</v>
      </c>
      <c r="K117" s="13">
        <f t="shared" si="29"/>
        <v>504793</v>
      </c>
      <c r="L117" s="31">
        <v>13606.84656</v>
      </c>
      <c r="M117" s="13">
        <f t="shared" si="32"/>
        <v>492722.15344000002</v>
      </c>
      <c r="N117" s="30">
        <v>355789</v>
      </c>
      <c r="O117" s="30">
        <v>10834</v>
      </c>
      <c r="P117" s="30">
        <f t="shared" si="42"/>
        <v>344955</v>
      </c>
      <c r="Q117" s="30">
        <f t="shared" si="43"/>
        <v>849748</v>
      </c>
    </row>
    <row r="118" spans="1:17" s="10" customFormat="1" ht="12.75" x14ac:dyDescent="0.2">
      <c r="A118" s="18" t="s">
        <v>89</v>
      </c>
      <c r="B118" s="30">
        <v>12739</v>
      </c>
      <c r="C118" s="30">
        <v>60582</v>
      </c>
      <c r="D118" s="30">
        <v>444867</v>
      </c>
      <c r="E118" s="30">
        <v>2780</v>
      </c>
      <c r="F118" s="30">
        <f t="shared" si="39"/>
        <v>515408</v>
      </c>
      <c r="G118" s="30">
        <v>31</v>
      </c>
      <c r="H118" s="21" t="s">
        <v>94</v>
      </c>
      <c r="I118" s="30">
        <v>17852</v>
      </c>
      <c r="J118" s="21" t="s">
        <v>94</v>
      </c>
      <c r="K118" s="13">
        <f t="shared" si="29"/>
        <v>533291</v>
      </c>
      <c r="L118" s="31">
        <v>13355.888419999999</v>
      </c>
      <c r="M118" s="13">
        <f t="shared" ref="M118:M136" si="44">B118+C118+D118+G118+H118+I118+J118-L118</f>
        <v>522715.11158000003</v>
      </c>
      <c r="N118" s="30">
        <v>349399</v>
      </c>
      <c r="O118" s="30">
        <v>13203</v>
      </c>
      <c r="P118" s="30">
        <f t="shared" ref="P118:P123" si="45">N118-O118</f>
        <v>336196</v>
      </c>
      <c r="Q118" s="30">
        <f t="shared" ref="Q118:Q123" si="46">K118+P118</f>
        <v>869487</v>
      </c>
    </row>
    <row r="119" spans="1:17" s="10" customFormat="1" ht="12.75" x14ac:dyDescent="0.2">
      <c r="A119" s="18" t="s">
        <v>79</v>
      </c>
      <c r="B119" s="30">
        <v>12801</v>
      </c>
      <c r="C119" s="30">
        <v>60874</v>
      </c>
      <c r="D119" s="30">
        <v>450903</v>
      </c>
      <c r="E119" s="30">
        <v>2139</v>
      </c>
      <c r="F119" s="30">
        <f t="shared" si="39"/>
        <v>522439</v>
      </c>
      <c r="G119" s="30">
        <v>31</v>
      </c>
      <c r="H119" s="21" t="s">
        <v>94</v>
      </c>
      <c r="I119" s="30">
        <v>17827</v>
      </c>
      <c r="J119" s="21" t="s">
        <v>94</v>
      </c>
      <c r="K119" s="13">
        <f t="shared" si="29"/>
        <v>540297</v>
      </c>
      <c r="L119" s="31">
        <v>13442.507439999999</v>
      </c>
      <c r="M119" s="13">
        <f t="shared" si="44"/>
        <v>528993.49256000004</v>
      </c>
      <c r="N119" s="30">
        <v>323025</v>
      </c>
      <c r="O119" s="30">
        <v>7378</v>
      </c>
      <c r="P119" s="30">
        <f t="shared" si="45"/>
        <v>315647</v>
      </c>
      <c r="Q119" s="30">
        <f t="shared" si="46"/>
        <v>855944</v>
      </c>
    </row>
    <row r="120" spans="1:17" s="10" customFormat="1" ht="12.75" x14ac:dyDescent="0.2">
      <c r="A120" s="18" t="s">
        <v>90</v>
      </c>
      <c r="B120" s="30">
        <v>12723</v>
      </c>
      <c r="C120" s="30">
        <v>60504</v>
      </c>
      <c r="D120" s="30">
        <v>474538</v>
      </c>
      <c r="E120" s="30">
        <v>1843</v>
      </c>
      <c r="F120" s="30">
        <f t="shared" si="39"/>
        <v>545922</v>
      </c>
      <c r="G120" s="30">
        <v>31</v>
      </c>
      <c r="H120" s="21" t="s">
        <v>94</v>
      </c>
      <c r="I120" s="30">
        <v>17944</v>
      </c>
      <c r="J120" s="21" t="s">
        <v>94</v>
      </c>
      <c r="K120" s="13">
        <f t="shared" si="29"/>
        <v>563897</v>
      </c>
      <c r="L120" s="31">
        <v>13325.22084</v>
      </c>
      <c r="M120" s="13">
        <f t="shared" si="44"/>
        <v>552414.77916000003</v>
      </c>
      <c r="N120" s="30">
        <v>337690</v>
      </c>
      <c r="O120" s="30">
        <v>12933</v>
      </c>
      <c r="P120" s="30">
        <f t="shared" si="45"/>
        <v>324757</v>
      </c>
      <c r="Q120" s="30">
        <f t="shared" si="46"/>
        <v>888654</v>
      </c>
    </row>
    <row r="121" spans="1:17" s="10" customFormat="1" ht="12.75" x14ac:dyDescent="0.2">
      <c r="A121" s="18" t="s">
        <v>91</v>
      </c>
      <c r="B121" s="30">
        <v>12838</v>
      </c>
      <c r="C121" s="30">
        <v>61022</v>
      </c>
      <c r="D121" s="30">
        <v>492513</v>
      </c>
      <c r="E121" s="30">
        <v>1675</v>
      </c>
      <c r="F121" s="30">
        <f t="shared" si="39"/>
        <v>564698</v>
      </c>
      <c r="G121" s="30">
        <v>31</v>
      </c>
      <c r="H121" s="21" t="s">
        <v>94</v>
      </c>
      <c r="I121" s="30">
        <v>17972</v>
      </c>
      <c r="J121" s="21" t="s">
        <v>94</v>
      </c>
      <c r="K121" s="13">
        <f t="shared" si="29"/>
        <v>582701</v>
      </c>
      <c r="L121" s="31">
        <v>12774.17432</v>
      </c>
      <c r="M121" s="13">
        <f t="shared" si="44"/>
        <v>571601.82568000001</v>
      </c>
      <c r="N121" s="30">
        <v>293826</v>
      </c>
      <c r="O121" s="30">
        <v>12992</v>
      </c>
      <c r="P121" s="30">
        <f t="shared" si="45"/>
        <v>280834</v>
      </c>
      <c r="Q121" s="30">
        <f t="shared" si="46"/>
        <v>863535</v>
      </c>
    </row>
    <row r="122" spans="1:17" s="10" customFormat="1" ht="12.75" x14ac:dyDescent="0.2">
      <c r="A122" s="18" t="s">
        <v>80</v>
      </c>
      <c r="B122" s="30">
        <v>13009</v>
      </c>
      <c r="C122" s="30">
        <v>61831</v>
      </c>
      <c r="D122" s="30">
        <v>468620</v>
      </c>
      <c r="E122" s="30">
        <v>1638</v>
      </c>
      <c r="F122" s="30">
        <f t="shared" si="39"/>
        <v>541822</v>
      </c>
      <c r="G122" s="30">
        <v>32</v>
      </c>
      <c r="H122" s="21" t="s">
        <v>94</v>
      </c>
      <c r="I122" s="30">
        <v>17954</v>
      </c>
      <c r="J122" s="21" t="s">
        <v>94</v>
      </c>
      <c r="K122" s="13">
        <f t="shared" si="29"/>
        <v>559808</v>
      </c>
      <c r="L122" s="31">
        <v>12820.56208</v>
      </c>
      <c r="M122" s="13">
        <f t="shared" si="44"/>
        <v>548625.43792000005</v>
      </c>
      <c r="N122" s="30">
        <v>264917</v>
      </c>
      <c r="O122" s="30">
        <v>8262</v>
      </c>
      <c r="P122" s="30">
        <f t="shared" si="45"/>
        <v>256655</v>
      </c>
      <c r="Q122" s="30">
        <f t="shared" si="46"/>
        <v>816463</v>
      </c>
    </row>
    <row r="123" spans="1:17" s="10" customFormat="1" ht="12.75" x14ac:dyDescent="0.2">
      <c r="A123" s="18" t="s">
        <v>92</v>
      </c>
      <c r="B123" s="30">
        <v>12995</v>
      </c>
      <c r="C123" s="30">
        <v>61766</v>
      </c>
      <c r="D123" s="30">
        <v>495439</v>
      </c>
      <c r="E123" s="30">
        <v>1911</v>
      </c>
      <c r="F123" s="30">
        <f t="shared" si="39"/>
        <v>568289</v>
      </c>
      <c r="G123" s="30">
        <v>32</v>
      </c>
      <c r="H123" s="21" t="s">
        <v>94</v>
      </c>
      <c r="I123" s="30">
        <v>17930</v>
      </c>
      <c r="J123" s="21" t="s">
        <v>94</v>
      </c>
      <c r="K123" s="13">
        <f t="shared" si="29"/>
        <v>586251</v>
      </c>
      <c r="L123" s="31">
        <v>12912.41044</v>
      </c>
      <c r="M123" s="13">
        <f t="shared" si="44"/>
        <v>575249.58955999999</v>
      </c>
      <c r="N123" s="30">
        <v>258187</v>
      </c>
      <c r="O123" s="30">
        <v>5768</v>
      </c>
      <c r="P123" s="30">
        <f t="shared" si="45"/>
        <v>252419</v>
      </c>
      <c r="Q123" s="30">
        <f t="shared" si="46"/>
        <v>838670</v>
      </c>
    </row>
    <row r="124" spans="1:17" s="10" customFormat="1" ht="12.75" x14ac:dyDescent="0.2">
      <c r="A124" s="18" t="s">
        <v>93</v>
      </c>
      <c r="B124" s="30">
        <v>12946</v>
      </c>
      <c r="C124" s="30">
        <v>61508</v>
      </c>
      <c r="D124" s="30">
        <v>496129</v>
      </c>
      <c r="E124" s="30">
        <v>2168</v>
      </c>
      <c r="F124" s="30">
        <f t="shared" si="39"/>
        <v>568415</v>
      </c>
      <c r="G124" s="30">
        <v>31</v>
      </c>
      <c r="H124" s="21" t="s">
        <v>94</v>
      </c>
      <c r="I124" s="30">
        <v>17995</v>
      </c>
      <c r="J124" s="21" t="s">
        <v>94</v>
      </c>
      <c r="K124" s="13">
        <f t="shared" si="29"/>
        <v>586441</v>
      </c>
      <c r="L124" s="31">
        <v>12666.15288</v>
      </c>
      <c r="M124" s="13">
        <f t="shared" si="44"/>
        <v>575942.84712000005</v>
      </c>
      <c r="N124" s="30">
        <v>292087</v>
      </c>
      <c r="O124" s="30">
        <v>6599</v>
      </c>
      <c r="P124" s="30">
        <f t="shared" ref="P124" si="47">N124-O124</f>
        <v>285488</v>
      </c>
      <c r="Q124" s="30">
        <f t="shared" ref="Q124" si="48">K124+P124</f>
        <v>871929</v>
      </c>
    </row>
    <row r="125" spans="1:17" s="10" customFormat="1" ht="12.75" x14ac:dyDescent="0.2">
      <c r="A125" s="18" t="s">
        <v>81</v>
      </c>
      <c r="B125" s="30">
        <v>12964</v>
      </c>
      <c r="C125" s="30">
        <v>61593</v>
      </c>
      <c r="D125" s="30">
        <v>503245</v>
      </c>
      <c r="E125" s="30">
        <v>2125</v>
      </c>
      <c r="F125" s="30">
        <f t="shared" si="39"/>
        <v>575677</v>
      </c>
      <c r="G125" s="30">
        <v>26</v>
      </c>
      <c r="H125" s="21" t="s">
        <v>94</v>
      </c>
      <c r="I125" s="30">
        <v>17918</v>
      </c>
      <c r="J125" s="21" t="s">
        <v>94</v>
      </c>
      <c r="K125" s="13">
        <f t="shared" si="29"/>
        <v>593621</v>
      </c>
      <c r="L125" s="31">
        <v>12756.322340000001</v>
      </c>
      <c r="M125" s="13">
        <f>B125+C125+D125+G125+H125+I125+J125-L125</f>
        <v>582989.67766000004</v>
      </c>
      <c r="N125" s="30">
        <v>363332</v>
      </c>
      <c r="O125" s="30">
        <v>7150</v>
      </c>
      <c r="P125" s="30">
        <f t="shared" ref="P125" si="49">N125-O125</f>
        <v>356182</v>
      </c>
      <c r="Q125" s="30">
        <f t="shared" ref="Q125" si="50">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9"/>
        <v>572100</v>
      </c>
      <c r="G127" s="30">
        <v>26</v>
      </c>
      <c r="H127" s="21" t="s">
        <v>94</v>
      </c>
      <c r="I127" s="30">
        <v>17788</v>
      </c>
      <c r="J127" s="21" t="s">
        <v>94</v>
      </c>
      <c r="K127" s="13">
        <f t="shared" si="29"/>
        <v>589914</v>
      </c>
      <c r="L127" s="31">
        <v>12846.491739999999</v>
      </c>
      <c r="M127" s="13">
        <f t="shared" si="44"/>
        <v>578586.50826000003</v>
      </c>
      <c r="N127" s="30">
        <v>325179</v>
      </c>
      <c r="O127" s="30">
        <v>9240</v>
      </c>
      <c r="P127" s="30">
        <f t="shared" ref="P127" si="51">N127-O127</f>
        <v>315939</v>
      </c>
      <c r="Q127" s="30">
        <f t="shared" ref="Q127" si="52">K127+P127</f>
        <v>905853</v>
      </c>
    </row>
    <row r="128" spans="1:17" s="10" customFormat="1" ht="12.75" customHeight="1" x14ac:dyDescent="0.2">
      <c r="A128" s="18" t="s">
        <v>87</v>
      </c>
      <c r="B128" s="30">
        <v>12778</v>
      </c>
      <c r="C128" s="30">
        <v>60685</v>
      </c>
      <c r="D128" s="30">
        <v>542807</v>
      </c>
      <c r="E128" s="30">
        <v>2540</v>
      </c>
      <c r="F128" s="30">
        <f t="shared" si="39"/>
        <v>613730</v>
      </c>
      <c r="G128" s="30">
        <v>25</v>
      </c>
      <c r="H128" s="21" t="s">
        <v>94</v>
      </c>
      <c r="I128" s="30">
        <v>17855</v>
      </c>
      <c r="J128" s="21" t="s">
        <v>94</v>
      </c>
      <c r="K128" s="13">
        <f t="shared" si="29"/>
        <v>631610</v>
      </c>
      <c r="L128" s="31">
        <v>11705.7094</v>
      </c>
      <c r="M128" s="13">
        <f t="shared" si="44"/>
        <v>622444.29059999995</v>
      </c>
      <c r="N128" s="30">
        <v>345216</v>
      </c>
      <c r="O128" s="30">
        <v>13185</v>
      </c>
      <c r="P128" s="30">
        <f t="shared" ref="P128" si="53">N128-O128</f>
        <v>332031</v>
      </c>
      <c r="Q128" s="30">
        <f t="shared" ref="Q128" si="54">K128+P128</f>
        <v>963641</v>
      </c>
    </row>
    <row r="129" spans="1:17" s="10" customFormat="1" ht="12.75" customHeight="1" x14ac:dyDescent="0.2">
      <c r="A129" s="18" t="s">
        <v>78</v>
      </c>
      <c r="B129" s="30">
        <v>12636</v>
      </c>
      <c r="C129" s="30">
        <v>60011</v>
      </c>
      <c r="D129" s="30">
        <v>550372</v>
      </c>
      <c r="E129" s="30">
        <v>1667</v>
      </c>
      <c r="F129" s="30">
        <f t="shared" si="39"/>
        <v>621352</v>
      </c>
      <c r="G129" s="30">
        <v>22</v>
      </c>
      <c r="H129" s="21" t="s">
        <v>94</v>
      </c>
      <c r="I129" s="30">
        <v>17861</v>
      </c>
      <c r="J129" s="21" t="s">
        <v>94</v>
      </c>
      <c r="K129" s="13">
        <f t="shared" si="29"/>
        <v>639235</v>
      </c>
      <c r="L129" s="31">
        <v>11837.891100000001</v>
      </c>
      <c r="M129" s="13">
        <f t="shared" si="44"/>
        <v>629064.10889999999</v>
      </c>
      <c r="N129" s="30">
        <v>365209</v>
      </c>
      <c r="O129" s="30">
        <v>12190</v>
      </c>
      <c r="P129" s="30">
        <f t="shared" ref="P129" si="55">N129-O129</f>
        <v>353019</v>
      </c>
      <c r="Q129" s="30">
        <f t="shared" ref="Q129" si="56">K129+P129</f>
        <v>992254</v>
      </c>
    </row>
    <row r="130" spans="1:17" s="10" customFormat="1" ht="12.75" customHeight="1" x14ac:dyDescent="0.2">
      <c r="A130" s="18" t="s">
        <v>88</v>
      </c>
      <c r="B130" s="30">
        <v>12729</v>
      </c>
      <c r="C130" s="30">
        <v>60451</v>
      </c>
      <c r="D130" s="30">
        <v>564628</v>
      </c>
      <c r="E130" s="30">
        <v>3706</v>
      </c>
      <c r="F130" s="30">
        <f t="shared" si="39"/>
        <v>634102</v>
      </c>
      <c r="G130" s="30">
        <v>22</v>
      </c>
      <c r="H130" s="21" t="s">
        <v>94</v>
      </c>
      <c r="I130" s="30">
        <v>17972</v>
      </c>
      <c r="J130" s="21" t="s">
        <v>94</v>
      </c>
      <c r="K130" s="13">
        <f t="shared" si="29"/>
        <v>652096</v>
      </c>
      <c r="L130" s="31">
        <v>12063.623020000001</v>
      </c>
      <c r="M130" s="13">
        <f t="shared" si="44"/>
        <v>643738.37697999994</v>
      </c>
      <c r="N130" s="30">
        <v>357189</v>
      </c>
      <c r="O130" s="30">
        <v>9397</v>
      </c>
      <c r="P130" s="30">
        <f t="shared" ref="P130:P131" si="57">N130-O130</f>
        <v>347792</v>
      </c>
      <c r="Q130" s="30">
        <f t="shared" ref="Q130:Q131" si="58">K130+P130</f>
        <v>999888</v>
      </c>
    </row>
    <row r="131" spans="1:17" s="10" customFormat="1" ht="12.75" customHeight="1" x14ac:dyDescent="0.2">
      <c r="A131" s="18" t="s">
        <v>89</v>
      </c>
      <c r="B131" s="30">
        <v>12642</v>
      </c>
      <c r="C131" s="30">
        <v>60025</v>
      </c>
      <c r="D131" s="30">
        <v>603088</v>
      </c>
      <c r="E131" s="30">
        <v>1247</v>
      </c>
      <c r="F131" s="30">
        <f t="shared" si="39"/>
        <v>674508</v>
      </c>
      <c r="G131" s="30">
        <v>22</v>
      </c>
      <c r="H131" s="21" t="s">
        <v>94</v>
      </c>
      <c r="I131" s="30">
        <v>17763</v>
      </c>
      <c r="J131" s="21" t="s">
        <v>94</v>
      </c>
      <c r="K131" s="13">
        <f t="shared" si="29"/>
        <v>692293</v>
      </c>
      <c r="L131" s="31">
        <v>11972.263580000001</v>
      </c>
      <c r="M131" s="13">
        <f t="shared" si="44"/>
        <v>681567.73641999997</v>
      </c>
      <c r="N131" s="30">
        <v>344887</v>
      </c>
      <c r="O131" s="30">
        <v>8592</v>
      </c>
      <c r="P131" s="30">
        <f t="shared" si="57"/>
        <v>336295</v>
      </c>
      <c r="Q131" s="30">
        <f t="shared" si="58"/>
        <v>1028588</v>
      </c>
    </row>
    <row r="132" spans="1:17" s="10" customFormat="1" ht="12.75" customHeight="1" x14ac:dyDescent="0.2">
      <c r="A132" s="18" t="s">
        <v>79</v>
      </c>
      <c r="B132" s="30">
        <v>12686</v>
      </c>
      <c r="C132" s="30">
        <v>60232</v>
      </c>
      <c r="D132" s="30">
        <v>626671</v>
      </c>
      <c r="E132" s="30">
        <v>1274</v>
      </c>
      <c r="F132" s="30">
        <f t="shared" si="39"/>
        <v>698315</v>
      </c>
      <c r="G132" s="30">
        <v>22</v>
      </c>
      <c r="H132" s="21" t="s">
        <v>94</v>
      </c>
      <c r="I132" s="30">
        <v>17590</v>
      </c>
      <c r="J132" s="21" t="s">
        <v>94</v>
      </c>
      <c r="K132" s="13">
        <f t="shared" si="29"/>
        <v>715927</v>
      </c>
      <c r="L132" s="31">
        <v>12197.33992</v>
      </c>
      <c r="M132" s="13">
        <f t="shared" si="44"/>
        <v>705003.66007999994</v>
      </c>
      <c r="N132" s="30">
        <v>341258</v>
      </c>
      <c r="O132" s="30">
        <v>8055</v>
      </c>
      <c r="P132" s="30">
        <f t="shared" ref="P132" si="59">N132-O132</f>
        <v>333203</v>
      </c>
      <c r="Q132" s="30">
        <f t="shared" ref="Q132" si="60">K132+P132</f>
        <v>1049130</v>
      </c>
    </row>
    <row r="133" spans="1:17" s="10" customFormat="1" ht="12.75" customHeight="1" x14ac:dyDescent="0.2">
      <c r="A133" s="18" t="s">
        <v>90</v>
      </c>
      <c r="B133" s="30">
        <v>12765</v>
      </c>
      <c r="C133" s="30">
        <v>60605</v>
      </c>
      <c r="D133" s="30">
        <v>651570</v>
      </c>
      <c r="E133" s="30">
        <v>2651</v>
      </c>
      <c r="F133" s="30">
        <f t="shared" si="39"/>
        <v>722289</v>
      </c>
      <c r="G133" s="30">
        <v>22</v>
      </c>
      <c r="H133" s="21" t="s">
        <v>94</v>
      </c>
      <c r="I133" s="30">
        <v>17545</v>
      </c>
      <c r="J133" s="21" t="s">
        <v>94</v>
      </c>
      <c r="K133" s="13">
        <f t="shared" si="29"/>
        <v>739856</v>
      </c>
      <c r="L133" s="31">
        <v>12202.4532</v>
      </c>
      <c r="M133" s="13">
        <f t="shared" si="44"/>
        <v>730304.54680000001</v>
      </c>
      <c r="N133" s="30">
        <v>338051</v>
      </c>
      <c r="O133" s="30">
        <v>6025</v>
      </c>
      <c r="P133" s="30">
        <f t="shared" ref="P133" si="61">N133-O133</f>
        <v>332026</v>
      </c>
      <c r="Q133" s="30">
        <f t="shared" ref="Q133" si="62">K133+P133</f>
        <v>1071882</v>
      </c>
    </row>
    <row r="134" spans="1:17" s="10" customFormat="1" ht="12.75" customHeight="1" x14ac:dyDescent="0.2">
      <c r="A134" s="18" t="s">
        <v>91</v>
      </c>
      <c r="B134" s="30">
        <v>12782</v>
      </c>
      <c r="C134" s="30">
        <v>60674</v>
      </c>
      <c r="D134" s="30">
        <v>657685</v>
      </c>
      <c r="E134" s="30">
        <v>3235</v>
      </c>
      <c r="F134" s="30">
        <f t="shared" si="39"/>
        <v>727906</v>
      </c>
      <c r="G134" s="30">
        <v>22</v>
      </c>
      <c r="H134" s="21" t="s">
        <v>94</v>
      </c>
      <c r="I134" s="30">
        <v>17474</v>
      </c>
      <c r="J134" s="21" t="s">
        <v>94</v>
      </c>
      <c r="K134" s="13">
        <f t="shared" si="29"/>
        <v>745402</v>
      </c>
      <c r="L134" s="31">
        <v>11252.407359999999</v>
      </c>
      <c r="M134" s="13">
        <f t="shared" si="44"/>
        <v>737384.59264000005</v>
      </c>
      <c r="N134" s="30">
        <v>327683</v>
      </c>
      <c r="O134" s="30">
        <v>7271</v>
      </c>
      <c r="P134" s="30">
        <f t="shared" ref="P134" si="63">N134-O134</f>
        <v>320412</v>
      </c>
      <c r="Q134" s="30">
        <f t="shared" ref="Q134" si="64">K134+P134</f>
        <v>1065814</v>
      </c>
    </row>
    <row r="135" spans="1:17" s="10" customFormat="1" ht="12.75" customHeight="1" x14ac:dyDescent="0.2">
      <c r="A135" s="18" t="s">
        <v>80</v>
      </c>
      <c r="B135" s="30">
        <v>12940</v>
      </c>
      <c r="C135" s="30">
        <v>61427</v>
      </c>
      <c r="D135" s="30">
        <v>666798</v>
      </c>
      <c r="E135" s="30">
        <v>1640</v>
      </c>
      <c r="F135" s="30">
        <f t="shared" si="39"/>
        <v>739525</v>
      </c>
      <c r="G135" s="30">
        <v>23</v>
      </c>
      <c r="H135" s="21" t="s">
        <v>94</v>
      </c>
      <c r="I135" s="30">
        <v>17588</v>
      </c>
      <c r="J135" s="21" t="s">
        <v>94</v>
      </c>
      <c r="K135" s="13">
        <f t="shared" si="29"/>
        <v>757136</v>
      </c>
      <c r="L135" s="31">
        <v>11125.923360000001</v>
      </c>
      <c r="M135" s="13">
        <f t="shared" si="44"/>
        <v>747650.07663999998</v>
      </c>
      <c r="N135" s="30">
        <v>297807</v>
      </c>
      <c r="O135" s="30">
        <v>19822</v>
      </c>
      <c r="P135" s="30">
        <f t="shared" ref="P135" si="65">N135-O135</f>
        <v>277985</v>
      </c>
      <c r="Q135" s="30">
        <f>K135+P135</f>
        <v>1035121</v>
      </c>
    </row>
    <row r="136" spans="1:17" s="10" customFormat="1" ht="12.75" customHeight="1" x14ac:dyDescent="0.2">
      <c r="A136" s="18" t="s">
        <v>92</v>
      </c>
      <c r="B136" s="30">
        <v>12974</v>
      </c>
      <c r="C136" s="30">
        <v>61585</v>
      </c>
      <c r="D136" s="30">
        <v>714219</v>
      </c>
      <c r="E136" s="30">
        <v>1342</v>
      </c>
      <c r="F136" s="30">
        <f t="shared" si="39"/>
        <v>787436</v>
      </c>
      <c r="G136" s="30">
        <v>17</v>
      </c>
      <c r="H136" s="21" t="s">
        <v>94</v>
      </c>
      <c r="I136" s="30">
        <v>17640</v>
      </c>
      <c r="J136" s="21" t="s">
        <v>94</v>
      </c>
      <c r="K136" s="13">
        <f t="shared" si="29"/>
        <v>805093</v>
      </c>
      <c r="L136" s="31">
        <v>11170.398719999999</v>
      </c>
      <c r="M136" s="13">
        <f t="shared" si="44"/>
        <v>795264.60127999994</v>
      </c>
      <c r="N136" s="30">
        <v>277200</v>
      </c>
      <c r="O136" s="30">
        <v>10492</v>
      </c>
      <c r="P136" s="30">
        <f t="shared" ref="P136" si="66">N136-O136</f>
        <v>266708</v>
      </c>
      <c r="Q136" s="30">
        <f t="shared" ref="Q136" si="67">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9"/>
        <v>814983</v>
      </c>
      <c r="L137" s="31">
        <v>11420.60968</v>
      </c>
      <c r="M137" s="13">
        <f>B137+C137+D137+G137+H137+I137+J137-L137</f>
        <v>806150.39032000001</v>
      </c>
      <c r="N137" s="30">
        <v>267063</v>
      </c>
      <c r="O137" s="30">
        <v>16621</v>
      </c>
      <c r="P137" s="30">
        <f t="shared" ref="P137:P142" si="68">N137-O137</f>
        <v>250442</v>
      </c>
      <c r="Q137" s="30">
        <f t="shared" ref="Q137:Q142" si="69">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B138+C138+D138+G138+H138+I138+J138-L138</f>
        <v>810188.26280000003</v>
      </c>
      <c r="N138" s="30">
        <v>294278</v>
      </c>
      <c r="O138" s="30">
        <v>27337</v>
      </c>
      <c r="P138" s="30">
        <f t="shared" si="68"/>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70">B140+C140+D140-E140</f>
        <v>817291</v>
      </c>
      <c r="G140" s="30">
        <v>16</v>
      </c>
      <c r="H140" s="21" t="s">
        <v>94</v>
      </c>
      <c r="I140" s="30">
        <v>17670.55</v>
      </c>
      <c r="J140" s="21" t="s">
        <v>94</v>
      </c>
      <c r="K140" s="13">
        <f t="shared" ref="K140:K143" si="71">F140+G140+H140+I140+J140</f>
        <v>834977.55</v>
      </c>
      <c r="L140" s="31">
        <v>12397.2065</v>
      </c>
      <c r="M140" s="13">
        <f t="shared" ref="M140:M150" si="72">B140+C140+D140+G140+H140+I140+J140-L140</f>
        <v>823828.34350000008</v>
      </c>
      <c r="N140" s="30">
        <v>319362</v>
      </c>
      <c r="O140" s="30">
        <v>30055</v>
      </c>
      <c r="P140" s="30">
        <f t="shared" si="68"/>
        <v>289307</v>
      </c>
      <c r="Q140" s="30">
        <f t="shared" si="69"/>
        <v>1124284.55</v>
      </c>
    </row>
    <row r="141" spans="1:17" s="10" customFormat="1" ht="12.75" customHeight="1" x14ac:dyDescent="0.2">
      <c r="A141" s="18" t="s">
        <v>87</v>
      </c>
      <c r="B141" s="30">
        <v>13053</v>
      </c>
      <c r="C141" s="30">
        <v>61950</v>
      </c>
      <c r="D141" s="30">
        <v>729551</v>
      </c>
      <c r="E141" s="30">
        <v>1244</v>
      </c>
      <c r="F141" s="30">
        <f t="shared" si="70"/>
        <v>803310</v>
      </c>
      <c r="G141" s="30">
        <v>15</v>
      </c>
      <c r="H141" s="21" t="s">
        <v>94</v>
      </c>
      <c r="I141" s="30">
        <v>17716.63</v>
      </c>
      <c r="J141" s="21" t="s">
        <v>94</v>
      </c>
      <c r="K141" s="13">
        <f t="shared" si="71"/>
        <v>821041.63</v>
      </c>
      <c r="L141" s="31">
        <v>11501.8729</v>
      </c>
      <c r="M141" s="13">
        <f t="shared" si="72"/>
        <v>810783.75710000005</v>
      </c>
      <c r="N141" s="30">
        <v>360625</v>
      </c>
      <c r="O141" s="30">
        <v>37357</v>
      </c>
      <c r="P141" s="30">
        <f t="shared" si="68"/>
        <v>323268</v>
      </c>
      <c r="Q141" s="30">
        <f t="shared" si="69"/>
        <v>1144309.6299999999</v>
      </c>
    </row>
    <row r="142" spans="1:17" s="10" customFormat="1" ht="12.75" customHeight="1" x14ac:dyDescent="0.2">
      <c r="A142" s="18" t="s">
        <v>78</v>
      </c>
      <c r="B142" s="30">
        <v>13038</v>
      </c>
      <c r="C142" s="30">
        <v>61880</v>
      </c>
      <c r="D142" s="30">
        <v>769749</v>
      </c>
      <c r="E142" s="30">
        <v>2229</v>
      </c>
      <c r="F142" s="30">
        <f t="shared" si="70"/>
        <v>842438</v>
      </c>
      <c r="G142" s="30">
        <v>15</v>
      </c>
      <c r="H142" s="21" t="s">
        <v>94</v>
      </c>
      <c r="I142" s="30">
        <v>17664.454000000002</v>
      </c>
      <c r="J142" s="21" t="s">
        <v>94</v>
      </c>
      <c r="K142" s="13">
        <f t="shared" si="71"/>
        <v>860117.45400000003</v>
      </c>
      <c r="L142" s="31">
        <v>9986.1873599999999</v>
      </c>
      <c r="M142" s="13">
        <f t="shared" si="72"/>
        <v>852360.26664000005</v>
      </c>
      <c r="N142" s="30">
        <v>369982</v>
      </c>
      <c r="O142" s="30">
        <v>59937</v>
      </c>
      <c r="P142" s="30">
        <f t="shared" si="68"/>
        <v>310045</v>
      </c>
      <c r="Q142" s="30">
        <f t="shared" si="69"/>
        <v>1170162.4539999999</v>
      </c>
    </row>
    <row r="143" spans="1:17" s="10" customFormat="1" ht="12.75" customHeight="1" x14ac:dyDescent="0.2">
      <c r="A143" s="18" t="s">
        <v>88</v>
      </c>
      <c r="B143" s="30">
        <v>13072</v>
      </c>
      <c r="C143" s="30">
        <v>62042</v>
      </c>
      <c r="D143" s="30">
        <v>773761</v>
      </c>
      <c r="E143" s="30">
        <v>1282</v>
      </c>
      <c r="F143" s="30">
        <f t="shared" si="70"/>
        <v>847593</v>
      </c>
      <c r="G143" s="30">
        <v>15</v>
      </c>
      <c r="H143" s="21" t="s">
        <v>94</v>
      </c>
      <c r="I143" s="30">
        <v>17700.128000000001</v>
      </c>
      <c r="J143" s="21" t="s">
        <v>94</v>
      </c>
      <c r="K143" s="13">
        <f t="shared" si="71"/>
        <v>865308.12800000003</v>
      </c>
      <c r="L143" s="31">
        <v>9776.6494399999992</v>
      </c>
      <c r="M143" s="13">
        <f t="shared" si="72"/>
        <v>856813.47856000008</v>
      </c>
      <c r="N143" s="30">
        <v>381854</v>
      </c>
      <c r="O143" s="30">
        <v>57407</v>
      </c>
      <c r="P143" s="30">
        <f t="shared" ref="P143" si="73">N143-O143</f>
        <v>324447</v>
      </c>
      <c r="Q143" s="30">
        <f t="shared" ref="Q143" si="74">K143+P143</f>
        <v>1189755.128</v>
      </c>
    </row>
    <row r="144" spans="1:17" s="10" customFormat="1" ht="12.75" customHeight="1" x14ac:dyDescent="0.2">
      <c r="A144" s="18" t="s">
        <v>89</v>
      </c>
      <c r="B144" s="30">
        <v>12994</v>
      </c>
      <c r="C144" s="30">
        <v>61677</v>
      </c>
      <c r="D144" s="30">
        <v>797277</v>
      </c>
      <c r="E144" s="30">
        <v>3236</v>
      </c>
      <c r="F144" s="30">
        <f t="shared" ref="F144:F150" si="75">B144+C144+D144-E144</f>
        <v>868712</v>
      </c>
      <c r="G144" s="30">
        <v>15</v>
      </c>
      <c r="H144" s="21" t="s">
        <v>94</v>
      </c>
      <c r="I144" s="30">
        <v>17797.695</v>
      </c>
      <c r="J144" s="21" t="s">
        <v>94</v>
      </c>
      <c r="K144" s="13">
        <f t="shared" ref="K144:K149" si="76">F144+G144+H144+I144+J144</f>
        <v>886524.69499999995</v>
      </c>
      <c r="L144" s="31">
        <v>9890.2602000000006</v>
      </c>
      <c r="M144" s="13">
        <f t="shared" si="72"/>
        <v>879870.43479999993</v>
      </c>
      <c r="N144" s="30">
        <v>362694</v>
      </c>
      <c r="O144" s="30">
        <v>52620</v>
      </c>
      <c r="P144" s="30">
        <f t="shared" ref="P144" si="77">N144-O144</f>
        <v>310074</v>
      </c>
      <c r="Q144" s="30">
        <f t="shared" ref="Q144" si="78">K144+P144</f>
        <v>1196598.6949999998</v>
      </c>
    </row>
    <row r="145" spans="1:17" s="10" customFormat="1" ht="12.75" customHeight="1" x14ac:dyDescent="0.2">
      <c r="A145" s="18" t="s">
        <v>79</v>
      </c>
      <c r="B145" s="30">
        <v>13040</v>
      </c>
      <c r="C145" s="30">
        <v>61894</v>
      </c>
      <c r="D145" s="30">
        <v>800281</v>
      </c>
      <c r="E145" s="30">
        <v>1693</v>
      </c>
      <c r="F145" s="30">
        <f t="shared" si="75"/>
        <v>873522</v>
      </c>
      <c r="G145" s="30">
        <v>15</v>
      </c>
      <c r="H145" s="21">
        <v>0</v>
      </c>
      <c r="I145" s="30">
        <v>17798.582999999999</v>
      </c>
      <c r="J145" s="21">
        <v>0</v>
      </c>
      <c r="K145" s="13">
        <f>F145+G145+H145+I145+J145</f>
        <v>891335.58299999998</v>
      </c>
      <c r="L145" s="31">
        <v>10297.573259999999</v>
      </c>
      <c r="M145" s="13">
        <f t="shared" si="72"/>
        <v>882731.00974000001</v>
      </c>
      <c r="N145" s="30">
        <v>372002</v>
      </c>
      <c r="O145" s="30">
        <v>44663</v>
      </c>
      <c r="P145" s="30">
        <f t="shared" ref="P145" si="79">N145-O145</f>
        <v>327339</v>
      </c>
      <c r="Q145" s="30">
        <f t="shared" ref="Q145" si="80">K145+P145</f>
        <v>1218674.5830000001</v>
      </c>
    </row>
    <row r="146" spans="1:17" s="10" customFormat="1" ht="12.75" customHeight="1" x14ac:dyDescent="0.2">
      <c r="A146" s="18" t="s">
        <v>90</v>
      </c>
      <c r="B146" s="30">
        <v>12917</v>
      </c>
      <c r="C146" s="30">
        <v>61310</v>
      </c>
      <c r="D146" s="30">
        <v>852940</v>
      </c>
      <c r="E146" s="30">
        <v>1356</v>
      </c>
      <c r="F146" s="30">
        <f t="shared" si="75"/>
        <v>925811</v>
      </c>
      <c r="G146" s="30">
        <v>15</v>
      </c>
      <c r="H146" s="21">
        <v>0</v>
      </c>
      <c r="I146" s="30">
        <v>17769.109</v>
      </c>
      <c r="J146" s="21">
        <v>0</v>
      </c>
      <c r="K146" s="13">
        <f t="shared" si="76"/>
        <v>943595.10900000005</v>
      </c>
      <c r="L146" s="31">
        <v>10641</v>
      </c>
      <c r="M146" s="13">
        <f t="shared" si="72"/>
        <v>934310.10900000005</v>
      </c>
      <c r="N146" s="30">
        <v>337764</v>
      </c>
      <c r="O146" s="30">
        <v>38841</v>
      </c>
      <c r="P146" s="30">
        <f t="shared" ref="P146:P151" si="81">N146-O146</f>
        <v>298923</v>
      </c>
      <c r="Q146" s="30">
        <f t="shared" ref="Q146:Q151" si="82">K146+P146</f>
        <v>1242518.1090000002</v>
      </c>
    </row>
    <row r="147" spans="1:17" s="10" customFormat="1" ht="12.75" customHeight="1" x14ac:dyDescent="0.2">
      <c r="A147" s="18" t="s">
        <v>91</v>
      </c>
      <c r="B147" s="30">
        <v>12808</v>
      </c>
      <c r="C147" s="30">
        <v>60796</v>
      </c>
      <c r="D147" s="30">
        <v>846948</v>
      </c>
      <c r="E147" s="30">
        <v>1453</v>
      </c>
      <c r="F147" s="30">
        <f t="shared" si="75"/>
        <v>919099</v>
      </c>
      <c r="G147" s="30">
        <v>15</v>
      </c>
      <c r="H147" s="21">
        <v>0</v>
      </c>
      <c r="I147" s="30">
        <v>19701.151999999998</v>
      </c>
      <c r="J147" s="21">
        <v>0</v>
      </c>
      <c r="K147" s="13">
        <f t="shared" si="76"/>
        <v>938815.152</v>
      </c>
      <c r="L147" s="31">
        <v>8710.4509199999993</v>
      </c>
      <c r="M147" s="13">
        <f t="shared" si="72"/>
        <v>931557.70108000003</v>
      </c>
      <c r="N147" s="30">
        <v>317472</v>
      </c>
      <c r="O147" s="30">
        <v>37497</v>
      </c>
      <c r="P147" s="30">
        <f t="shared" si="81"/>
        <v>279975</v>
      </c>
      <c r="Q147" s="30">
        <f t="shared" si="82"/>
        <v>1218790.152</v>
      </c>
    </row>
    <row r="148" spans="1:17" s="10" customFormat="1" ht="12.75" customHeight="1" x14ac:dyDescent="0.2">
      <c r="A148" s="18" t="s">
        <v>80</v>
      </c>
      <c r="B148" s="30">
        <v>12506</v>
      </c>
      <c r="C148" s="30">
        <v>59363</v>
      </c>
      <c r="D148" s="30">
        <v>875299</v>
      </c>
      <c r="E148" s="30">
        <v>1674</v>
      </c>
      <c r="F148" s="30">
        <f t="shared" si="75"/>
        <v>945494</v>
      </c>
      <c r="G148" s="30">
        <v>15</v>
      </c>
      <c r="H148" s="21">
        <v>0</v>
      </c>
      <c r="I148" s="30">
        <v>17957.056</v>
      </c>
      <c r="J148" s="21">
        <v>0</v>
      </c>
      <c r="K148" s="13">
        <f t="shared" si="76"/>
        <v>963466.05599999998</v>
      </c>
      <c r="L148" s="31">
        <v>8575</v>
      </c>
      <c r="M148" s="13">
        <f t="shared" si="72"/>
        <v>956565.05599999998</v>
      </c>
      <c r="N148" s="30">
        <v>294681</v>
      </c>
      <c r="O148" s="30">
        <v>39964</v>
      </c>
      <c r="P148" s="30">
        <f t="shared" si="81"/>
        <v>254717</v>
      </c>
      <c r="Q148" s="30">
        <f t="shared" si="82"/>
        <v>1218183.0559999999</v>
      </c>
    </row>
    <row r="149" spans="1:17" s="10" customFormat="1" ht="12.75" customHeight="1" x14ac:dyDescent="0.2">
      <c r="A149" s="18" t="s">
        <v>92</v>
      </c>
      <c r="B149" s="30">
        <v>12470</v>
      </c>
      <c r="C149" s="30">
        <v>59193</v>
      </c>
      <c r="D149" s="30">
        <v>870240</v>
      </c>
      <c r="E149" s="30">
        <v>1757</v>
      </c>
      <c r="F149" s="30">
        <f t="shared" si="75"/>
        <v>940146</v>
      </c>
      <c r="G149" s="30">
        <v>14</v>
      </c>
      <c r="H149" s="21">
        <v>0</v>
      </c>
      <c r="I149" s="30">
        <v>17919.817999999999</v>
      </c>
      <c r="J149" s="21">
        <v>0</v>
      </c>
      <c r="K149" s="13">
        <f t="shared" si="76"/>
        <v>958079.81799999997</v>
      </c>
      <c r="L149" s="31">
        <v>8584</v>
      </c>
      <c r="M149" s="13">
        <f t="shared" si="72"/>
        <v>951252.81799999997</v>
      </c>
      <c r="N149" s="30">
        <v>275003</v>
      </c>
      <c r="O149" s="30">
        <v>36609</v>
      </c>
      <c r="P149" s="30">
        <f t="shared" si="81"/>
        <v>238394</v>
      </c>
      <c r="Q149" s="30">
        <f t="shared" si="82"/>
        <v>1196473.818</v>
      </c>
    </row>
    <row r="150" spans="1:17" s="10" customFormat="1" ht="12.75" customHeight="1" x14ac:dyDescent="0.2">
      <c r="A150" s="18" t="s">
        <v>93</v>
      </c>
      <c r="B150" s="30">
        <v>12351</v>
      </c>
      <c r="C150" s="30">
        <v>58630</v>
      </c>
      <c r="D150" s="30">
        <v>882360</v>
      </c>
      <c r="E150" s="30">
        <v>1574</v>
      </c>
      <c r="F150" s="30">
        <f t="shared" si="75"/>
        <v>951767</v>
      </c>
      <c r="G150" s="30">
        <v>8</v>
      </c>
      <c r="H150" s="21">
        <v>0</v>
      </c>
      <c r="I150" s="30">
        <v>18032.329000000002</v>
      </c>
      <c r="J150" s="21">
        <v>0</v>
      </c>
      <c r="K150" s="13">
        <f>F150+G150+H150+I150+J150</f>
        <v>969807.32900000003</v>
      </c>
      <c r="L150" s="31">
        <v>9112</v>
      </c>
      <c r="M150" s="13">
        <f t="shared" si="72"/>
        <v>962269.32900000003</v>
      </c>
      <c r="N150" s="30">
        <v>257881</v>
      </c>
      <c r="O150" s="30">
        <v>36629</v>
      </c>
      <c r="P150" s="30">
        <f t="shared" si="81"/>
        <v>221252</v>
      </c>
      <c r="Q150" s="30">
        <f t="shared" si="82"/>
        <v>1191059.3289999999</v>
      </c>
    </row>
    <row r="151" spans="1:17"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B151+C151+D151+G151+H151+I151+J151-L151</f>
        <v>974245.73699999996</v>
      </c>
      <c r="N151" s="30">
        <v>280571</v>
      </c>
      <c r="O151" s="30">
        <v>35786</v>
      </c>
      <c r="P151" s="30">
        <f t="shared" si="81"/>
        <v>244785</v>
      </c>
      <c r="Q151" s="30">
        <f t="shared" si="82"/>
        <v>1226832.737</v>
      </c>
    </row>
    <row r="152" spans="1:17" ht="12.75" x14ac:dyDescent="0.2">
      <c r="A152" s="37">
        <v>2015</v>
      </c>
      <c r="B152" s="30"/>
      <c r="C152" s="30"/>
      <c r="D152" s="30"/>
      <c r="E152" s="30"/>
      <c r="F152" s="30"/>
      <c r="G152" s="30"/>
      <c r="H152" s="36"/>
      <c r="I152" s="30"/>
      <c r="J152" s="28"/>
      <c r="K152" s="13"/>
      <c r="L152" s="31"/>
      <c r="M152" s="13"/>
      <c r="N152" s="30"/>
      <c r="O152" s="30"/>
      <c r="P152" s="30"/>
      <c r="Q152" s="30"/>
    </row>
    <row r="153" spans="1:17" ht="12.75" x14ac:dyDescent="0.2">
      <c r="A153" s="18" t="s">
        <v>86</v>
      </c>
      <c r="B153" s="30">
        <v>11900.245860000001</v>
      </c>
      <c r="C153" s="30">
        <v>56450.563090000003</v>
      </c>
      <c r="D153" s="30">
        <v>886999.49934999971</v>
      </c>
      <c r="E153" s="30">
        <v>1249.0975700000001</v>
      </c>
      <c r="F153" s="30">
        <v>954101.2107299997</v>
      </c>
      <c r="G153" s="30">
        <v>7.8929999999999998</v>
      </c>
      <c r="H153" s="21">
        <v>0</v>
      </c>
      <c r="I153" s="30">
        <v>18329.723999999998</v>
      </c>
      <c r="J153" s="21">
        <v>0</v>
      </c>
      <c r="K153" s="13">
        <v>972438.82772999979</v>
      </c>
      <c r="L153" s="31">
        <v>9558.0239800000018</v>
      </c>
      <c r="M153" s="13">
        <v>964129.90131999971</v>
      </c>
      <c r="N153" s="30">
        <v>304372</v>
      </c>
      <c r="O153" s="30">
        <v>30771</v>
      </c>
      <c r="P153" s="30">
        <v>273601</v>
      </c>
      <c r="Q153" s="30">
        <v>1246039.8277299998</v>
      </c>
    </row>
    <row r="154" spans="1:17" ht="12.75" x14ac:dyDescent="0.2">
      <c r="A154" s="18" t="s">
        <v>87</v>
      </c>
      <c r="B154" s="30">
        <v>11874.112840000002</v>
      </c>
      <c r="C154" s="30">
        <v>56355.906659999993</v>
      </c>
      <c r="D154" s="30">
        <v>896698.91575000028</v>
      </c>
      <c r="E154" s="30">
        <v>2279.9229699999996</v>
      </c>
      <c r="F154" s="30">
        <v>962649.01228000037</v>
      </c>
      <c r="G154" s="30">
        <v>6.8390000000000004</v>
      </c>
      <c r="H154" s="21">
        <v>0</v>
      </c>
      <c r="I154" s="30">
        <v>18142.116999999998</v>
      </c>
      <c r="J154" s="21">
        <v>0</v>
      </c>
      <c r="K154" s="13">
        <v>980797.96828000038</v>
      </c>
      <c r="L154" s="38">
        <v>9139.4368000000013</v>
      </c>
      <c r="M154" s="13">
        <v>973938.45445000031</v>
      </c>
      <c r="N154" s="30">
        <v>339602</v>
      </c>
      <c r="O154" s="30">
        <v>27716</v>
      </c>
      <c r="P154" s="30">
        <v>311886</v>
      </c>
      <c r="Q154" s="30">
        <v>1292683.9682800004</v>
      </c>
    </row>
    <row r="155" spans="1:17" ht="12.75" x14ac:dyDescent="0.2">
      <c r="A155" s="18" t="s">
        <v>78</v>
      </c>
      <c r="B155" s="30">
        <v>11641.42231</v>
      </c>
      <c r="C155" s="30">
        <v>55238.711149999996</v>
      </c>
      <c r="D155" s="30">
        <v>912217.89937999996</v>
      </c>
      <c r="E155" s="30">
        <v>1779.7641699999999</v>
      </c>
      <c r="F155" s="30">
        <v>977318.26867000002</v>
      </c>
      <c r="G155" s="30">
        <v>6.5659999999999998</v>
      </c>
      <c r="H155" s="21">
        <v>0</v>
      </c>
      <c r="I155" s="30">
        <v>18201.391</v>
      </c>
      <c r="J155" s="21">
        <v>0</v>
      </c>
      <c r="K155" s="13">
        <v>995526.22566999996</v>
      </c>
      <c r="L155" s="38">
        <v>8254.6166600000015</v>
      </c>
      <c r="M155" s="13">
        <v>989051.37317999988</v>
      </c>
      <c r="N155" s="30">
        <v>361939</v>
      </c>
      <c r="O155" s="30">
        <v>26715</v>
      </c>
      <c r="P155" s="30">
        <v>335224</v>
      </c>
      <c r="Q155" s="30">
        <v>1330750.2256700001</v>
      </c>
    </row>
    <row r="156" spans="1:17" ht="12.75" x14ac:dyDescent="0.2">
      <c r="A156" s="18" t="s">
        <v>88</v>
      </c>
      <c r="B156" s="30">
        <v>11871.349310000001</v>
      </c>
      <c r="C156" s="30">
        <v>56316.204369999999</v>
      </c>
      <c r="D156" s="30">
        <v>915554.89587999985</v>
      </c>
      <c r="E156" s="30">
        <v>1718.8489500000001</v>
      </c>
      <c r="F156" s="30">
        <v>982023.60060999985</v>
      </c>
      <c r="G156" s="30">
        <v>6.8040000000000003</v>
      </c>
      <c r="H156" s="21">
        <v>0</v>
      </c>
      <c r="I156" s="30">
        <v>18101.329000000002</v>
      </c>
      <c r="J156" s="21">
        <v>0</v>
      </c>
      <c r="K156" s="13">
        <v>1000131.7336099999</v>
      </c>
      <c r="L156" s="38">
        <v>8486.0472999999984</v>
      </c>
      <c r="M156" s="13">
        <v>993364.53525999992</v>
      </c>
      <c r="N156" s="30">
        <v>369471</v>
      </c>
      <c r="O156" s="30">
        <v>28683</v>
      </c>
      <c r="P156" s="30">
        <v>340788</v>
      </c>
      <c r="Q156" s="30">
        <v>1340919.73361</v>
      </c>
    </row>
    <row r="157" spans="1:17" ht="12.75" x14ac:dyDescent="0.2">
      <c r="A157" s="18" t="s">
        <v>89</v>
      </c>
      <c r="B157" s="30">
        <v>11731.868199999999</v>
      </c>
      <c r="C157" s="30">
        <v>55680.461719999999</v>
      </c>
      <c r="D157" s="30">
        <v>949094.51986</v>
      </c>
      <c r="E157" s="30">
        <v>6928.9506500000007</v>
      </c>
      <c r="F157" s="30">
        <v>1009577.89913</v>
      </c>
      <c r="G157" s="30">
        <v>6.7809999999999997</v>
      </c>
      <c r="H157" s="21">
        <v>0</v>
      </c>
      <c r="I157" s="30">
        <v>18082.021000000001</v>
      </c>
      <c r="J157" s="21">
        <v>0</v>
      </c>
      <c r="K157" s="13">
        <v>1027666.7011299999</v>
      </c>
      <c r="L157" s="38">
        <v>8783.1725800000004</v>
      </c>
      <c r="M157" s="13">
        <v>1025812.4791999999</v>
      </c>
      <c r="N157" s="30">
        <v>350565</v>
      </c>
      <c r="O157" s="30">
        <v>27950</v>
      </c>
      <c r="P157" s="30">
        <v>322615</v>
      </c>
      <c r="Q157" s="30">
        <v>1350281.7011299999</v>
      </c>
    </row>
    <row r="158" spans="1:17" ht="12.75" x14ac:dyDescent="0.2">
      <c r="A158" s="18" t="s">
        <v>79</v>
      </c>
      <c r="B158" s="30">
        <v>11868.592719999999</v>
      </c>
      <c r="C158" s="30">
        <v>56316.752649999995</v>
      </c>
      <c r="D158" s="30">
        <v>1001139.2168000001</v>
      </c>
      <c r="E158" s="30">
        <v>7012.19175</v>
      </c>
      <c r="F158" s="30">
        <v>1062312.3704200001</v>
      </c>
      <c r="G158" s="30">
        <v>6.8860000000000001</v>
      </c>
      <c r="H158" s="21">
        <v>0</v>
      </c>
      <c r="I158" s="30">
        <v>18082.021000000001</v>
      </c>
      <c r="J158" s="21">
        <v>0</v>
      </c>
      <c r="K158" s="13">
        <v>1080401.2774199999</v>
      </c>
      <c r="L158" s="38">
        <v>9239.1302200000009</v>
      </c>
      <c r="M158" s="13">
        <v>1078174.33895</v>
      </c>
      <c r="N158" s="30">
        <v>356459</v>
      </c>
      <c r="O158" s="30">
        <v>26764</v>
      </c>
      <c r="P158" s="30">
        <v>329695</v>
      </c>
      <c r="Q158" s="30">
        <v>1410096.2774199999</v>
      </c>
    </row>
    <row r="159" spans="1:17" ht="12.75" x14ac:dyDescent="0.2">
      <c r="A159" s="18" t="s">
        <v>90</v>
      </c>
      <c r="B159" s="30">
        <v>11772.65712</v>
      </c>
      <c r="C159" s="30">
        <v>55848.644350000002</v>
      </c>
      <c r="D159" s="30">
        <v>1008443.1033000001</v>
      </c>
      <c r="E159" s="30">
        <v>7069.4674000000005</v>
      </c>
      <c r="F159" s="30">
        <v>1068994.9373700002</v>
      </c>
      <c r="G159" s="30">
        <v>6.9409999999999998</v>
      </c>
      <c r="H159" s="21">
        <v>0</v>
      </c>
      <c r="I159" s="30">
        <v>17965.918000000001</v>
      </c>
      <c r="J159" s="21">
        <v>0</v>
      </c>
      <c r="K159" s="13">
        <v>1086967.7963700003</v>
      </c>
      <c r="L159" s="38">
        <v>9245.238519999999</v>
      </c>
      <c r="M159" s="13">
        <v>1084792.0252500004</v>
      </c>
      <c r="N159" s="30">
        <v>345625</v>
      </c>
      <c r="O159" s="30">
        <v>26312</v>
      </c>
      <c r="P159" s="30">
        <v>319313</v>
      </c>
      <c r="Q159" s="30">
        <v>1406280.7963700003</v>
      </c>
    </row>
    <row r="160" spans="1:17" ht="12.75" x14ac:dyDescent="0.2">
      <c r="A160" s="18" t="s">
        <v>91</v>
      </c>
      <c r="B160" s="30">
        <v>11844.068359999999</v>
      </c>
      <c r="C160" s="30">
        <v>56214.808819999998</v>
      </c>
      <c r="D160" s="30">
        <v>1000201.3396299998</v>
      </c>
      <c r="E160" s="30">
        <v>6862.7831199999991</v>
      </c>
      <c r="F160" s="30">
        <v>1061397.4336899999</v>
      </c>
      <c r="G160" s="30">
        <v>6.8319999999999999</v>
      </c>
      <c r="H160" s="21">
        <v>0</v>
      </c>
      <c r="I160" s="30">
        <v>18125.951000000001</v>
      </c>
      <c r="J160" s="21">
        <v>0</v>
      </c>
      <c r="K160" s="13">
        <v>1079530.2166899997</v>
      </c>
      <c r="L160" s="38">
        <v>8109.168819999999</v>
      </c>
      <c r="M160" s="13">
        <v>1078283.8309899999</v>
      </c>
      <c r="N160" s="30">
        <v>314114</v>
      </c>
      <c r="O160" s="30">
        <v>26461</v>
      </c>
      <c r="P160" s="30">
        <v>287653</v>
      </c>
      <c r="Q160" s="30">
        <v>1367183.2166899997</v>
      </c>
    </row>
    <row r="161" spans="1:18" ht="12.75" x14ac:dyDescent="0.2">
      <c r="A161" s="18" t="s">
        <v>80</v>
      </c>
      <c r="B161" s="30">
        <v>11846.20959</v>
      </c>
      <c r="C161" s="30">
        <v>56212.406139999999</v>
      </c>
      <c r="D161" s="30">
        <v>798851.82383000001</v>
      </c>
      <c r="E161" s="30">
        <v>8187.13501</v>
      </c>
      <c r="F161" s="30">
        <v>858723.30455</v>
      </c>
      <c r="G161" s="30">
        <v>6.7220000000000004</v>
      </c>
      <c r="H161" s="21">
        <v>0</v>
      </c>
      <c r="I161" s="30">
        <v>18102.63</v>
      </c>
      <c r="J161" s="21">
        <v>0</v>
      </c>
      <c r="K161" s="13">
        <v>876832.65654999996</v>
      </c>
      <c r="L161" s="38">
        <v>7872.6249999999991</v>
      </c>
      <c r="M161" s="13">
        <v>877147.16655999993</v>
      </c>
      <c r="N161" s="30">
        <v>296382</v>
      </c>
      <c r="O161" s="30">
        <v>24980</v>
      </c>
      <c r="P161" s="30">
        <v>271402</v>
      </c>
      <c r="Q161" s="30">
        <v>1148234.65655</v>
      </c>
    </row>
    <row r="162" spans="1:18" ht="12.75" x14ac:dyDescent="0.2">
      <c r="A162" s="18" t="s">
        <v>92</v>
      </c>
      <c r="B162" s="30">
        <v>11790.95732</v>
      </c>
      <c r="C162" s="30">
        <v>55937.298759999998</v>
      </c>
      <c r="D162" s="30">
        <v>802582.90324000001</v>
      </c>
      <c r="E162" s="30">
        <v>7644.5639900000006</v>
      </c>
      <c r="F162" s="30">
        <v>862666.59532999992</v>
      </c>
      <c r="G162" s="30">
        <v>0.93100000000000005</v>
      </c>
      <c r="H162" s="21">
        <v>0</v>
      </c>
      <c r="I162" s="30">
        <v>18165.82</v>
      </c>
      <c r="J162" s="21">
        <v>0</v>
      </c>
      <c r="K162" s="13">
        <v>880833.34632999985</v>
      </c>
      <c r="L162" s="38">
        <v>7720.0244000000002</v>
      </c>
      <c r="M162" s="13">
        <v>880757.88591999991</v>
      </c>
      <c r="N162" s="30">
        <v>286170</v>
      </c>
      <c r="O162" s="30">
        <v>37238</v>
      </c>
      <c r="P162" s="30">
        <v>248932</v>
      </c>
      <c r="Q162" s="30">
        <v>1129765.3463299999</v>
      </c>
    </row>
    <row r="163" spans="1:18" ht="12.75" x14ac:dyDescent="0.2">
      <c r="A163" s="18" t="s">
        <v>93</v>
      </c>
      <c r="B163" s="30">
        <v>11577.11355</v>
      </c>
      <c r="C163" s="30">
        <v>54949.930799999995</v>
      </c>
      <c r="D163" s="30">
        <v>786228.7989800002</v>
      </c>
      <c r="E163" s="30">
        <v>7090.0566600000002</v>
      </c>
      <c r="F163" s="30">
        <v>845665.78667000018</v>
      </c>
      <c r="G163" s="30">
        <v>0.91100000000000003</v>
      </c>
      <c r="H163" s="21">
        <v>0</v>
      </c>
      <c r="I163" s="30">
        <v>18116.05</v>
      </c>
      <c r="J163" s="21">
        <v>0</v>
      </c>
      <c r="K163" s="13">
        <v>863782.74767000019</v>
      </c>
      <c r="L163" s="38">
        <v>7913.6321199999993</v>
      </c>
      <c r="M163" s="13">
        <v>862959.17221000022</v>
      </c>
      <c r="N163" s="30">
        <v>308654</v>
      </c>
      <c r="O163" s="30">
        <v>49577</v>
      </c>
      <c r="P163" s="30">
        <v>259077</v>
      </c>
      <c r="Q163" s="30">
        <v>1122859.7476700002</v>
      </c>
    </row>
    <row r="164" spans="1:18" ht="12.75" x14ac:dyDescent="0.2">
      <c r="A164" s="18" t="s">
        <v>81</v>
      </c>
      <c r="B164" s="30">
        <v>11694.222589999999</v>
      </c>
      <c r="C164" s="30">
        <v>55492.954669999999</v>
      </c>
      <c r="D164" s="30">
        <v>797213.01579000009</v>
      </c>
      <c r="E164" s="30">
        <v>7664.9922400000005</v>
      </c>
      <c r="F164" s="30">
        <v>856735.20081000007</v>
      </c>
      <c r="G164" s="30">
        <v>0.88900000000000001</v>
      </c>
      <c r="H164" s="21">
        <v>0</v>
      </c>
      <c r="I164" s="30">
        <v>18082.23</v>
      </c>
      <c r="J164" s="21">
        <v>0</v>
      </c>
      <c r="K164" s="13">
        <v>874818.31981000002</v>
      </c>
      <c r="L164" s="38">
        <v>8224.7948599999982</v>
      </c>
      <c r="M164" s="13">
        <v>874258.51719000004</v>
      </c>
      <c r="N164" s="30">
        <v>309356</v>
      </c>
      <c r="O164" s="30">
        <v>34121</v>
      </c>
      <c r="P164" s="30">
        <v>275235</v>
      </c>
      <c r="Q164" s="30">
        <v>1150053.31981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808965.61786</v>
      </c>
      <c r="E166" s="30">
        <v>7630.5580099999997</v>
      </c>
      <c r="F166" s="30">
        <v>868271.46273999999</v>
      </c>
      <c r="G166" s="30">
        <v>0.88900000000000001</v>
      </c>
      <c r="H166" s="21">
        <v>0</v>
      </c>
      <c r="I166" s="30">
        <v>18344</v>
      </c>
      <c r="J166" s="21">
        <v>0</v>
      </c>
      <c r="K166" s="13">
        <v>886616.35173999995</v>
      </c>
      <c r="L166" s="31">
        <v>8343.1618399999988</v>
      </c>
      <c r="M166" s="13">
        <v>885903.74791000003</v>
      </c>
      <c r="N166" s="30">
        <v>304807</v>
      </c>
      <c r="O166" s="30">
        <v>48793</v>
      </c>
      <c r="P166" s="30">
        <v>256014</v>
      </c>
      <c r="Q166" s="30">
        <v>1142630.3517399998</v>
      </c>
      <c r="R166" s="34"/>
    </row>
    <row r="167" spans="1:18" ht="12.75" x14ac:dyDescent="0.2">
      <c r="A167" s="18" t="s">
        <v>87</v>
      </c>
      <c r="B167" s="30">
        <v>17110.632300000001</v>
      </c>
      <c r="C167" s="30">
        <v>55317.686240000003</v>
      </c>
      <c r="D167" s="30">
        <v>785218.16560000007</v>
      </c>
      <c r="E167" s="30">
        <v>7286.71227</v>
      </c>
      <c r="F167" s="30">
        <v>850359.77187000006</v>
      </c>
      <c r="G167" s="30">
        <v>0.88900000000000001</v>
      </c>
      <c r="H167" s="21">
        <v>0</v>
      </c>
      <c r="I167" s="30">
        <v>18473</v>
      </c>
      <c r="J167" s="21">
        <v>0</v>
      </c>
      <c r="K167" s="13">
        <v>868833.66087000002</v>
      </c>
      <c r="L167" s="31">
        <v>7643.9187199999988</v>
      </c>
      <c r="M167" s="13">
        <v>868476.45442000008</v>
      </c>
      <c r="N167" s="30">
        <v>265366</v>
      </c>
      <c r="O167" s="30">
        <v>12167</v>
      </c>
      <c r="P167" s="30">
        <v>253199</v>
      </c>
      <c r="Q167" s="30">
        <v>1122032.66087</v>
      </c>
      <c r="R167" s="34"/>
    </row>
    <row r="168" spans="1:18" ht="12.75" x14ac:dyDescent="0.2">
      <c r="A168" s="18" t="s">
        <v>78</v>
      </c>
      <c r="B168" s="30">
        <v>17454.265449999999</v>
      </c>
      <c r="C168" s="30">
        <v>56419.386469999998</v>
      </c>
      <c r="D168" s="30">
        <v>798922.54523999989</v>
      </c>
      <c r="E168" s="30">
        <v>8393.0858499999995</v>
      </c>
      <c r="F168" s="30">
        <v>864403.11130999983</v>
      </c>
      <c r="G168" s="30">
        <v>0.88900000000000001</v>
      </c>
      <c r="H168" s="21">
        <v>0</v>
      </c>
      <c r="I168" s="30">
        <v>18506</v>
      </c>
      <c r="J168" s="21">
        <v>0</v>
      </c>
      <c r="K168" s="13">
        <v>882910.0003099998</v>
      </c>
      <c r="L168" s="31">
        <v>6596.8762800000004</v>
      </c>
      <c r="M168" s="13">
        <v>884706.20987999986</v>
      </c>
      <c r="N168" s="30">
        <v>303860</v>
      </c>
      <c r="O168" s="30">
        <v>16268</v>
      </c>
      <c r="P168" s="30">
        <v>287592</v>
      </c>
      <c r="Q168" s="30">
        <v>1170502.0003099998</v>
      </c>
      <c r="R168" s="34"/>
    </row>
    <row r="169" spans="1:18" ht="12.75" x14ac:dyDescent="0.2">
      <c r="A169" s="18" t="s">
        <v>88</v>
      </c>
      <c r="B169" s="30">
        <v>17562.393989999997</v>
      </c>
      <c r="C169" s="30">
        <v>56760.188689999995</v>
      </c>
      <c r="D169" s="30">
        <v>801208.23972000007</v>
      </c>
      <c r="E169" s="30">
        <v>7133.5236299999997</v>
      </c>
      <c r="F169" s="30">
        <v>868397.29877000011</v>
      </c>
      <c r="G169" s="30">
        <v>0.88900000000000001</v>
      </c>
      <c r="H169" s="21">
        <v>0</v>
      </c>
      <c r="I169" s="30">
        <v>18464</v>
      </c>
      <c r="J169" s="21">
        <v>0</v>
      </c>
      <c r="K169" s="13">
        <v>886862.18777000008</v>
      </c>
      <c r="L169" s="31">
        <v>6872.4278400000003</v>
      </c>
      <c r="M169" s="13">
        <v>887123.28356000001</v>
      </c>
      <c r="N169" s="30">
        <v>309833</v>
      </c>
      <c r="O169" s="30">
        <v>13916</v>
      </c>
      <c r="P169" s="30">
        <v>295917</v>
      </c>
      <c r="Q169" s="30">
        <v>1182779.1877700002</v>
      </c>
      <c r="R169" s="34"/>
    </row>
    <row r="170" spans="1:18" ht="12.75" x14ac:dyDescent="0.2">
      <c r="A170" s="18" t="s">
        <v>89</v>
      </c>
      <c r="B170" s="30">
        <v>17377.917869999997</v>
      </c>
      <c r="C170" s="30">
        <v>56182.212770000006</v>
      </c>
      <c r="D170" s="30">
        <v>801922.04870000004</v>
      </c>
      <c r="E170" s="30">
        <v>8901.2537100000009</v>
      </c>
      <c r="F170" s="30">
        <v>866580.92563000007</v>
      </c>
      <c r="G170" s="30">
        <v>0.88900000000000001</v>
      </c>
      <c r="H170" s="21">
        <v>0</v>
      </c>
      <c r="I170" s="30">
        <v>18480</v>
      </c>
      <c r="J170" s="21">
        <v>0</v>
      </c>
      <c r="K170" s="13">
        <v>885061.81463000004</v>
      </c>
      <c r="L170" s="31">
        <v>7017.3060399999995</v>
      </c>
      <c r="M170" s="13">
        <v>886945.76229999994</v>
      </c>
      <c r="N170" s="30">
        <v>318142</v>
      </c>
      <c r="O170" s="30">
        <v>24387</v>
      </c>
      <c r="P170" s="30">
        <v>293755</v>
      </c>
      <c r="Q170" s="30">
        <v>1178816.8146299999</v>
      </c>
      <c r="R170" s="34"/>
    </row>
    <row r="171" spans="1:18" ht="12.75" x14ac:dyDescent="0.2">
      <c r="A171" s="18" t="s">
        <v>79</v>
      </c>
      <c r="B171" s="30">
        <v>17330.875820000001</v>
      </c>
      <c r="C171" s="30">
        <v>56020.820270000004</v>
      </c>
      <c r="D171" s="30">
        <v>805037.70099999988</v>
      </c>
      <c r="E171" s="30">
        <v>7253.7344699999994</v>
      </c>
      <c r="F171" s="30">
        <v>871135.66261999984</v>
      </c>
      <c r="G171" s="30">
        <v>0.88900000000000001</v>
      </c>
      <c r="H171" s="21">
        <v>0</v>
      </c>
      <c r="I171" s="30">
        <v>18784</v>
      </c>
      <c r="J171" s="21">
        <v>0</v>
      </c>
      <c r="K171" s="13">
        <v>889920.55161999981</v>
      </c>
      <c r="L171" s="31">
        <v>7241.615319999999</v>
      </c>
      <c r="M171" s="13">
        <v>889932.67076999985</v>
      </c>
      <c r="N171" s="30">
        <v>303762</v>
      </c>
      <c r="O171" s="30">
        <v>8878</v>
      </c>
      <c r="P171" s="30">
        <v>294884</v>
      </c>
      <c r="Q171" s="30">
        <v>1184804.5516199998</v>
      </c>
      <c r="R171" s="34"/>
    </row>
    <row r="172" spans="1:18" ht="12.75" x14ac:dyDescent="0.2">
      <c r="A172" s="18" t="s">
        <v>90</v>
      </c>
      <c r="B172" s="30">
        <v>17266.3161</v>
      </c>
      <c r="C172" s="30">
        <v>55802.559930000003</v>
      </c>
      <c r="D172" s="30">
        <v>789859.60585000017</v>
      </c>
      <c r="E172" s="30">
        <v>7609.72984</v>
      </c>
      <c r="F172" s="30">
        <v>855318.75204000017</v>
      </c>
      <c r="G172" s="30">
        <v>0.88900000000000001</v>
      </c>
      <c r="H172" s="21">
        <v>0</v>
      </c>
      <c r="I172" s="30">
        <v>18805</v>
      </c>
      <c r="J172" s="21">
        <v>0</v>
      </c>
      <c r="K172" s="13">
        <v>874124.64104000013</v>
      </c>
      <c r="L172" s="31">
        <v>7338.2181599999994</v>
      </c>
      <c r="M172" s="13">
        <v>874396.15272000013</v>
      </c>
      <c r="N172" s="30">
        <v>276419</v>
      </c>
      <c r="O172" s="30">
        <v>11382</v>
      </c>
      <c r="P172" s="30">
        <v>265037</v>
      </c>
      <c r="Q172" s="30">
        <v>1139161.6410400001</v>
      </c>
      <c r="R172" s="34"/>
    </row>
    <row r="173" spans="1:18" ht="12.75" x14ac:dyDescent="0.2">
      <c r="A173" s="18" t="s">
        <v>91</v>
      </c>
      <c r="B173" s="30">
        <v>17272.14414</v>
      </c>
      <c r="C173" s="30">
        <v>55842.697909999995</v>
      </c>
      <c r="D173" s="30">
        <v>788712.93465000018</v>
      </c>
      <c r="E173" s="30">
        <v>8544.2531199999994</v>
      </c>
      <c r="F173" s="30">
        <v>853283.52358000015</v>
      </c>
      <c r="G173" s="30">
        <v>0.88900000000000001</v>
      </c>
      <c r="H173" s="21">
        <v>0</v>
      </c>
      <c r="I173" s="30">
        <v>18735</v>
      </c>
      <c r="J173" s="21">
        <v>0</v>
      </c>
      <c r="K173" s="13">
        <v>872019.41258000012</v>
      </c>
      <c r="L173" s="31">
        <v>6451.7608599999994</v>
      </c>
      <c r="M173" s="13">
        <v>874111.90484000009</v>
      </c>
      <c r="N173" s="30">
        <v>274234</v>
      </c>
      <c r="O173" s="30">
        <v>11996</v>
      </c>
      <c r="P173" s="30">
        <v>262238</v>
      </c>
      <c r="Q173" s="30">
        <v>1134257.4125800002</v>
      </c>
      <c r="R173" s="34"/>
    </row>
    <row r="174" spans="1:18" ht="12.75" x14ac:dyDescent="0.2">
      <c r="A174" s="18" t="s">
        <v>80</v>
      </c>
      <c r="B174" s="30">
        <v>17293.258280000002</v>
      </c>
      <c r="C174" s="30">
        <v>55901.710930000001</v>
      </c>
      <c r="D174" s="30">
        <v>786432.62043000001</v>
      </c>
      <c r="E174" s="30">
        <v>7615.1815199999992</v>
      </c>
      <c r="F174" s="30">
        <v>852012.40812000004</v>
      </c>
      <c r="G174" s="30">
        <v>0.88900000000000001</v>
      </c>
      <c r="H174" s="21">
        <v>0</v>
      </c>
      <c r="I174" s="30">
        <v>18765</v>
      </c>
      <c r="J174" s="21">
        <v>0</v>
      </c>
      <c r="K174" s="13">
        <v>870778.29712</v>
      </c>
      <c r="L174" s="31">
        <v>6199.7196599999988</v>
      </c>
      <c r="M174" s="13">
        <v>872193.75898000004</v>
      </c>
      <c r="N174" s="30">
        <v>252341</v>
      </c>
      <c r="O174" s="30">
        <v>13633</v>
      </c>
      <c r="P174" s="30">
        <v>238708</v>
      </c>
      <c r="Q174" s="30">
        <v>1109486.29712</v>
      </c>
      <c r="R174" s="34"/>
    </row>
    <row r="175" spans="1:18" ht="12.75" x14ac:dyDescent="0.2">
      <c r="A175" s="18" t="s">
        <v>92</v>
      </c>
      <c r="B175" s="30">
        <v>17027.845859999998</v>
      </c>
      <c r="C175" s="30">
        <v>55022.08251</v>
      </c>
      <c r="D175" s="30">
        <v>649374.43215000012</v>
      </c>
      <c r="E175" s="30">
        <v>10398.186180000001</v>
      </c>
      <c r="F175" s="30">
        <v>711026.17434000014</v>
      </c>
      <c r="G175" s="30">
        <v>0.88900000000000001</v>
      </c>
      <c r="H175" s="21">
        <v>0</v>
      </c>
      <c r="I175" s="30">
        <v>18560</v>
      </c>
      <c r="J175" s="21">
        <v>0</v>
      </c>
      <c r="K175" s="13">
        <v>729587.06334000011</v>
      </c>
      <c r="L175" s="31">
        <v>6365.7063799999996</v>
      </c>
      <c r="M175" s="13">
        <v>733619.54314000008</v>
      </c>
      <c r="N175" s="30">
        <v>254819</v>
      </c>
      <c r="O175" s="30">
        <v>12169</v>
      </c>
      <c r="P175" s="30">
        <v>242650</v>
      </c>
      <c r="Q175" s="30">
        <v>972237.06334000011</v>
      </c>
      <c r="R175" s="34"/>
    </row>
    <row r="176" spans="1:18" ht="12.75" x14ac:dyDescent="0.2">
      <c r="A176" s="18" t="s">
        <v>93</v>
      </c>
      <c r="B176" s="30">
        <v>16776.61159</v>
      </c>
      <c r="C176" s="30">
        <v>54220.968799999995</v>
      </c>
      <c r="D176" s="30">
        <v>662570.14737000014</v>
      </c>
      <c r="E176" s="30">
        <v>7481.7187699999995</v>
      </c>
      <c r="F176" s="30">
        <v>726086.00899000012</v>
      </c>
      <c r="G176" s="30">
        <v>0.88900000000000001</v>
      </c>
      <c r="H176" s="21">
        <v>0</v>
      </c>
      <c r="I176" s="30">
        <v>18173</v>
      </c>
      <c r="J176" s="21">
        <v>0</v>
      </c>
      <c r="K176" s="13">
        <v>744259.89799000008</v>
      </c>
      <c r="L176" s="31">
        <v>6468.0292799999988</v>
      </c>
      <c r="M176" s="13">
        <v>745273.5874800001</v>
      </c>
      <c r="N176" s="30">
        <v>241873</v>
      </c>
      <c r="O176" s="30">
        <v>21704</v>
      </c>
      <c r="P176" s="30">
        <v>220169</v>
      </c>
      <c r="Q176" s="30">
        <v>964428.89799000008</v>
      </c>
      <c r="R176" s="34"/>
    </row>
    <row r="177" spans="1:18" ht="12.75" x14ac:dyDescent="0.2">
      <c r="A177" s="18" t="s">
        <v>81</v>
      </c>
      <c r="B177" s="30">
        <v>16674.196120000001</v>
      </c>
      <c r="C177" s="30">
        <v>53843.357340000002</v>
      </c>
      <c r="D177" s="30">
        <v>670557.73710999987</v>
      </c>
      <c r="E177" s="30">
        <v>7218.5130499999996</v>
      </c>
      <c r="F177" s="30">
        <v>733856.77751999989</v>
      </c>
      <c r="G177" s="30">
        <v>0.88900000000000001</v>
      </c>
      <c r="H177" s="21">
        <v>0</v>
      </c>
      <c r="I177" s="30">
        <v>18167</v>
      </c>
      <c r="J177" s="21">
        <v>0</v>
      </c>
      <c r="K177" s="13">
        <v>752024.66651999985</v>
      </c>
      <c r="L177" s="31">
        <v>6415.1462599999995</v>
      </c>
      <c r="M177" s="13">
        <v>752828.03330999985</v>
      </c>
      <c r="N177" s="30">
        <v>251674</v>
      </c>
      <c r="O177" s="30">
        <v>17216</v>
      </c>
      <c r="P177" s="30">
        <v>234458</v>
      </c>
      <c r="Q177" s="30">
        <v>986482.66651999985</v>
      </c>
      <c r="R177" s="34"/>
    </row>
    <row r="178" spans="1:18" ht="12.75" x14ac:dyDescent="0.2">
      <c r="A178" s="37">
        <v>2017</v>
      </c>
    </row>
    <row r="179" spans="1:18" ht="12.75" x14ac:dyDescent="0.2">
      <c r="A179" s="18" t="s">
        <v>86</v>
      </c>
      <c r="B179" s="30">
        <v>16872.040829999998</v>
      </c>
      <c r="C179" s="30">
        <v>54423.973010000002</v>
      </c>
      <c r="D179" s="30">
        <v>666884.51926999993</v>
      </c>
      <c r="E179" s="30">
        <v>7658.6569600000003</v>
      </c>
      <c r="F179" s="30">
        <v>730521.87614999991</v>
      </c>
      <c r="G179" s="30">
        <v>0.88900000000000001</v>
      </c>
      <c r="H179" s="21">
        <v>0</v>
      </c>
      <c r="I179" s="30">
        <v>18177</v>
      </c>
      <c r="J179" s="21">
        <v>0</v>
      </c>
      <c r="K179" s="13">
        <v>748699.76514999988</v>
      </c>
      <c r="L179" s="31">
        <v>6229.8412400000007</v>
      </c>
      <c r="M179" s="13">
        <v>750128.58086999995</v>
      </c>
      <c r="N179" s="30">
        <v>256954</v>
      </c>
      <c r="O179" s="30">
        <v>8717</v>
      </c>
      <c r="P179" s="30">
        <v>248237</v>
      </c>
      <c r="Q179" s="30">
        <v>996936.76514999988</v>
      </c>
    </row>
    <row r="180" spans="1:18" ht="12.75" x14ac:dyDescent="0.2">
      <c r="A180" s="18" t="s">
        <v>87</v>
      </c>
      <c r="B180" s="30">
        <v>16784.714390000001</v>
      </c>
      <c r="C180" s="30">
        <v>54238.71256</v>
      </c>
      <c r="D180" s="30">
        <v>678407.60687999986</v>
      </c>
      <c r="E180" s="30">
        <v>8954.6379499999985</v>
      </c>
      <c r="F180" s="30">
        <v>740476.39587999985</v>
      </c>
      <c r="G180" s="30">
        <v>0.88900000000000001</v>
      </c>
      <c r="H180" s="21">
        <v>0</v>
      </c>
      <c r="I180" s="30">
        <v>18217</v>
      </c>
      <c r="J180" s="21">
        <v>0</v>
      </c>
      <c r="K180" s="13">
        <v>758694.28487999982</v>
      </c>
      <c r="L180" s="31">
        <v>5456.8492799999995</v>
      </c>
      <c r="M180" s="13">
        <v>762192.07354999986</v>
      </c>
      <c r="N180" s="30">
        <v>260257</v>
      </c>
      <c r="O180" s="30">
        <v>14192</v>
      </c>
      <c r="P180" s="30">
        <v>246065</v>
      </c>
      <c r="Q180" s="30">
        <v>1004759.2848799998</v>
      </c>
    </row>
    <row r="181" spans="1:18" ht="12.75" x14ac:dyDescent="0.2">
      <c r="A181" s="18" t="s">
        <v>78</v>
      </c>
      <c r="B181" s="30">
        <v>16842.2317</v>
      </c>
      <c r="C181" s="30">
        <v>54357.193899999998</v>
      </c>
      <c r="D181" s="30">
        <v>666087.32172999985</v>
      </c>
      <c r="E181" s="30">
        <v>9448.6443500000005</v>
      </c>
      <c r="F181" s="30">
        <v>727838.10297999985</v>
      </c>
      <c r="G181" s="30">
        <v>0.88900000000000001</v>
      </c>
      <c r="H181" s="21">
        <v>0</v>
      </c>
      <c r="I181" s="30">
        <v>18243</v>
      </c>
      <c r="J181" s="21">
        <v>0</v>
      </c>
      <c r="K181" s="13">
        <v>746081.99197999982</v>
      </c>
      <c r="L181" s="31">
        <v>5589.1999399999995</v>
      </c>
      <c r="M181" s="13">
        <v>749941.43638999981</v>
      </c>
      <c r="N181" s="30">
        <v>252402</v>
      </c>
      <c r="O181" s="30">
        <v>25826</v>
      </c>
      <c r="P181" s="30">
        <v>226576</v>
      </c>
      <c r="Q181" s="30">
        <v>972657.99197999982</v>
      </c>
    </row>
    <row r="182" spans="1:18" ht="12.75" x14ac:dyDescent="0.2">
      <c r="A182" s="18" t="s">
        <v>88</v>
      </c>
      <c r="B182" s="30">
        <v>17044.66286</v>
      </c>
      <c r="C182" s="30">
        <v>54925.002930000002</v>
      </c>
      <c r="D182" s="30">
        <v>663731.59619999991</v>
      </c>
      <c r="E182" s="30">
        <v>7336.4215100000001</v>
      </c>
      <c r="F182" s="30">
        <v>728364.8404799999</v>
      </c>
      <c r="G182" s="30">
        <v>1</v>
      </c>
      <c r="H182" s="21">
        <v>0</v>
      </c>
      <c r="I182" s="30">
        <v>18305</v>
      </c>
      <c r="J182" s="21">
        <v>0</v>
      </c>
      <c r="K182" s="13">
        <v>746670.8404799999</v>
      </c>
      <c r="L182" s="31">
        <v>5837.6108199999981</v>
      </c>
      <c r="M182" s="13">
        <v>748169.65116999997</v>
      </c>
      <c r="N182" s="30">
        <v>262400</v>
      </c>
      <c r="O182" s="30">
        <v>14468</v>
      </c>
      <c r="P182" s="30">
        <v>247932</v>
      </c>
      <c r="Q182" s="30">
        <v>994602.8404799999</v>
      </c>
    </row>
    <row r="183" spans="1:18" ht="12.75" x14ac:dyDescent="0.2">
      <c r="A183" s="18" t="s">
        <v>89</v>
      </c>
      <c r="B183" s="30">
        <v>17175.537869999996</v>
      </c>
      <c r="C183" s="30">
        <v>55475.198149999997</v>
      </c>
      <c r="D183" s="30">
        <v>716887.92639000004</v>
      </c>
      <c r="E183" s="30">
        <v>4194.5624299999999</v>
      </c>
      <c r="F183" s="30">
        <v>785344.09997999994</v>
      </c>
      <c r="G183" s="30">
        <v>1</v>
      </c>
      <c r="H183" s="21">
        <v>0</v>
      </c>
      <c r="I183" s="30">
        <v>18388</v>
      </c>
      <c r="J183" s="21">
        <v>0</v>
      </c>
      <c r="K183" s="13">
        <v>803733.09997999994</v>
      </c>
      <c r="L183" s="31">
        <v>6094.3021199999994</v>
      </c>
      <c r="M183" s="13">
        <v>801833.36028999998</v>
      </c>
      <c r="N183" s="30">
        <v>265103</v>
      </c>
      <c r="O183" s="30">
        <v>10250</v>
      </c>
      <c r="P183" s="30">
        <v>254853</v>
      </c>
      <c r="Q183" s="30">
        <v>1058586.0999799999</v>
      </c>
    </row>
    <row r="184" spans="1:18" ht="12.75" x14ac:dyDescent="0.2">
      <c r="A184" s="18" t="s">
        <v>79</v>
      </c>
      <c r="B184" s="30">
        <v>17297.874110000001</v>
      </c>
      <c r="C184" s="30">
        <v>55758.42093</v>
      </c>
      <c r="D184" s="30">
        <v>719730.19327000005</v>
      </c>
      <c r="E184" s="30">
        <v>4462.0424999999996</v>
      </c>
      <c r="F184" s="30">
        <v>788324.44581000006</v>
      </c>
      <c r="G184" s="30">
        <v>1</v>
      </c>
      <c r="H184" s="21">
        <v>0</v>
      </c>
      <c r="I184" s="30">
        <v>18395</v>
      </c>
      <c r="J184" s="21">
        <v>0</v>
      </c>
      <c r="K184" s="13">
        <v>806720.44581000006</v>
      </c>
      <c r="L184" s="31">
        <v>6342.713099999999</v>
      </c>
      <c r="M184" s="13">
        <v>804839.77520999999</v>
      </c>
      <c r="N184" s="30">
        <v>265581</v>
      </c>
      <c r="O184" s="30">
        <v>16462</v>
      </c>
      <c r="P184" s="30">
        <v>249119</v>
      </c>
      <c r="Q184" s="30">
        <v>1055839.4458099999</v>
      </c>
    </row>
    <row r="185" spans="1:18" ht="12.75" x14ac:dyDescent="0.2">
      <c r="A185" s="18" t="s">
        <v>90</v>
      </c>
      <c r="B185" s="30">
        <v>17538.373339999998</v>
      </c>
      <c r="C185" s="30">
        <v>56414.091189999999</v>
      </c>
      <c r="D185" s="30">
        <v>682016.3153400002</v>
      </c>
      <c r="E185" s="30">
        <v>5108.0439700000006</v>
      </c>
      <c r="F185" s="30">
        <v>750860.7359000002</v>
      </c>
      <c r="G185" s="30">
        <v>0.88900000000000001</v>
      </c>
      <c r="H185" s="21">
        <v>0</v>
      </c>
      <c r="I185" s="30">
        <v>18381</v>
      </c>
      <c r="J185" s="21">
        <v>0</v>
      </c>
      <c r="K185" s="13">
        <v>769242.62490000017</v>
      </c>
      <c r="L185" s="31">
        <v>6357.9107999999997</v>
      </c>
      <c r="M185" s="13">
        <v>767992.75807000021</v>
      </c>
      <c r="N185" s="30">
        <v>250675</v>
      </c>
      <c r="O185" s="30">
        <v>9354</v>
      </c>
      <c r="P185" s="30">
        <v>241321</v>
      </c>
      <c r="Q185" s="30">
        <v>1010563.6249000002</v>
      </c>
    </row>
    <row r="186" spans="1:18" ht="12.75" x14ac:dyDescent="0.2">
      <c r="A186" s="18" t="s">
        <v>91</v>
      </c>
      <c r="B186" s="30">
        <v>17549.596659999999</v>
      </c>
      <c r="C186" s="30">
        <v>56670.533259999997</v>
      </c>
      <c r="D186" s="30">
        <v>655311.65136000002</v>
      </c>
      <c r="E186" s="30">
        <v>4016.8234400000006</v>
      </c>
      <c r="F186" s="30">
        <v>725514.95784000005</v>
      </c>
      <c r="G186" s="30">
        <v>0.88900000000000001</v>
      </c>
      <c r="H186" s="21">
        <v>0</v>
      </c>
      <c r="I186" s="30">
        <v>18526</v>
      </c>
      <c r="J186" s="21">
        <v>0</v>
      </c>
      <c r="K186" s="13">
        <v>744041.84684000001</v>
      </c>
      <c r="L186" s="31">
        <v>5218.2262199999996</v>
      </c>
      <c r="M186" s="13">
        <v>742840.44406000001</v>
      </c>
      <c r="N186" s="30">
        <v>223424</v>
      </c>
      <c r="O186" s="30">
        <v>12208</v>
      </c>
      <c r="P186" s="30">
        <v>211216</v>
      </c>
      <c r="Q186" s="30">
        <v>955257.84684000001</v>
      </c>
    </row>
    <row r="187" spans="1:18" ht="12.75" x14ac:dyDescent="0.2">
      <c r="A187" s="18" t="s">
        <v>80</v>
      </c>
      <c r="B187" s="30">
        <v>17580.745910000001</v>
      </c>
      <c r="C187" s="30">
        <v>56666.764280000003</v>
      </c>
      <c r="D187" s="30">
        <v>663103.54012000002</v>
      </c>
      <c r="E187" s="30">
        <v>4196.7040299999999</v>
      </c>
      <c r="F187" s="30">
        <v>733154.34628000006</v>
      </c>
      <c r="G187" s="30">
        <v>0.95199999999999996</v>
      </c>
      <c r="H187" s="21">
        <v>0</v>
      </c>
      <c r="I187" s="30">
        <v>18443</v>
      </c>
      <c r="J187" s="21">
        <v>0</v>
      </c>
      <c r="K187" s="13">
        <v>751598.2982800001</v>
      </c>
      <c r="L187" s="31">
        <v>5478.7956800000011</v>
      </c>
      <c r="M187" s="13">
        <v>750316.20663000015</v>
      </c>
      <c r="N187" s="30">
        <v>205962</v>
      </c>
      <c r="O187" s="30">
        <v>8859</v>
      </c>
      <c r="P187" s="30">
        <v>197103</v>
      </c>
      <c r="Q187" s="30">
        <v>948701.2982800001</v>
      </c>
    </row>
    <row r="188" spans="1:18" ht="12.75" x14ac:dyDescent="0.2">
      <c r="A188" s="18" t="s">
        <v>92</v>
      </c>
      <c r="B188" s="30">
        <v>17509.57675</v>
      </c>
      <c r="C188" s="30">
        <v>56321.562229999996</v>
      </c>
      <c r="D188" s="30">
        <v>673591.81893000007</v>
      </c>
      <c r="E188" s="30">
        <v>2568.34593</v>
      </c>
      <c r="F188" s="30">
        <v>744854.61198000016</v>
      </c>
      <c r="G188" s="30">
        <v>0.93799999999999994</v>
      </c>
      <c r="H188" s="21">
        <v>0</v>
      </c>
      <c r="I188" s="30">
        <v>18422</v>
      </c>
      <c r="J188" s="21">
        <v>0</v>
      </c>
      <c r="K188" s="13">
        <v>763277.54998000013</v>
      </c>
      <c r="L188" s="31">
        <v>5748.050760000001</v>
      </c>
      <c r="M188" s="13">
        <v>760097.84515000007</v>
      </c>
      <c r="N188" s="30">
        <v>204918</v>
      </c>
      <c r="O188" s="30">
        <v>9890</v>
      </c>
      <c r="P188" s="30">
        <v>195028</v>
      </c>
      <c r="Q188" s="30">
        <v>958305.54998000013</v>
      </c>
    </row>
    <row r="189" spans="1:18" ht="12.75" x14ac:dyDescent="0.2">
      <c r="A189" s="18" t="s">
        <v>93</v>
      </c>
      <c r="B189" s="30">
        <v>17570.94526</v>
      </c>
      <c r="C189" s="30">
        <v>56781.950240000006</v>
      </c>
      <c r="D189" s="30">
        <v>522655.83249</v>
      </c>
      <c r="E189" s="30">
        <v>1201.28882</v>
      </c>
      <c r="F189" s="30">
        <v>595807.43917000003</v>
      </c>
      <c r="G189" s="30">
        <v>0.95899999999999996</v>
      </c>
      <c r="H189" s="21">
        <v>0</v>
      </c>
      <c r="I189" s="30">
        <v>18440</v>
      </c>
      <c r="J189" s="21">
        <v>0</v>
      </c>
      <c r="K189" s="13">
        <v>614248.39817000006</v>
      </c>
      <c r="L189" s="31">
        <v>6008.6202000000003</v>
      </c>
      <c r="M189" s="13">
        <v>609441.06679000007</v>
      </c>
      <c r="N189" s="30">
        <v>211097</v>
      </c>
      <c r="O189" s="30">
        <v>8920</v>
      </c>
      <c r="P189" s="30">
        <v>202177</v>
      </c>
      <c r="Q189" s="30">
        <v>816425.39817000006</v>
      </c>
    </row>
    <row r="190" spans="1:18" ht="12.75" x14ac:dyDescent="0.2">
      <c r="A190" s="18" t="s">
        <v>81</v>
      </c>
      <c r="B190" s="30">
        <v>17724.578080000003</v>
      </c>
      <c r="C190" s="30">
        <v>57131.607710000004</v>
      </c>
      <c r="D190" s="30">
        <v>537012.56377999997</v>
      </c>
      <c r="E190" s="30">
        <v>1771.8226000000002</v>
      </c>
      <c r="F190" s="30">
        <v>610096.92697000003</v>
      </c>
      <c r="G190" s="30">
        <v>0.96299999999999997</v>
      </c>
      <c r="H190" s="21">
        <v>0</v>
      </c>
      <c r="I190" s="30">
        <v>18497</v>
      </c>
      <c r="J190" s="21">
        <v>0</v>
      </c>
      <c r="K190" s="13">
        <v>628594.88997000002</v>
      </c>
      <c r="L190" s="31">
        <v>6277.8753200000001</v>
      </c>
      <c r="M190" s="13">
        <v>624088.83724999998</v>
      </c>
      <c r="N190" s="30">
        <v>235924</v>
      </c>
      <c r="O190" s="30">
        <v>5107</v>
      </c>
      <c r="P190" s="30">
        <v>230817</v>
      </c>
      <c r="Q190" s="30">
        <v>859411.88997000002</v>
      </c>
    </row>
    <row r="191" spans="1:18" ht="12.75" x14ac:dyDescent="0.2">
      <c r="A191" s="37">
        <v>2018</v>
      </c>
    </row>
    <row r="192" spans="1:18" ht="12.75" x14ac:dyDescent="0.2">
      <c r="A192" s="18" t="s">
        <v>86</v>
      </c>
      <c r="B192" s="30">
        <v>18184.451669999999</v>
      </c>
      <c r="C192" s="30">
        <v>58454.998650000001</v>
      </c>
      <c r="D192" s="30">
        <v>527785.89078999998</v>
      </c>
      <c r="E192" s="30">
        <v>1176.60221</v>
      </c>
      <c r="F192" s="30">
        <v>603248.73889999988</v>
      </c>
      <c r="G192" s="30">
        <v>1.0089999999999999</v>
      </c>
      <c r="H192" s="21">
        <v>0</v>
      </c>
      <c r="I192" s="30">
        <v>18313</v>
      </c>
      <c r="J192" s="21">
        <v>0</v>
      </c>
      <c r="K192" s="13">
        <v>621562.74789999984</v>
      </c>
      <c r="L192" s="31">
        <v>6547.1304400000008</v>
      </c>
      <c r="M192" s="13">
        <v>616192.2196699999</v>
      </c>
      <c r="N192" s="30">
        <v>270012</v>
      </c>
      <c r="O192" s="30">
        <v>11286</v>
      </c>
      <c r="P192" s="30">
        <v>258726</v>
      </c>
      <c r="Q192" s="30">
        <v>880288.74789999984</v>
      </c>
      <c r="R192" s="39"/>
    </row>
    <row r="193" spans="1:18" ht="12.75" x14ac:dyDescent="0.2">
      <c r="A193" s="18" t="s">
        <v>87</v>
      </c>
      <c r="B193" s="30">
        <v>17952.901859999998</v>
      </c>
      <c r="C193" s="30">
        <v>58044.638100000004</v>
      </c>
      <c r="D193" s="30">
        <v>501965.07179999998</v>
      </c>
      <c r="E193" s="30">
        <v>1326.9094499999999</v>
      </c>
      <c r="F193" s="30">
        <v>576635.70230999996</v>
      </c>
      <c r="G193" s="30">
        <v>0.98399999999999999</v>
      </c>
      <c r="H193" s="21">
        <v>0</v>
      </c>
      <c r="I193" s="30">
        <v>18201</v>
      </c>
      <c r="J193" s="21">
        <v>0</v>
      </c>
      <c r="K193" s="13">
        <v>594837.68631000002</v>
      </c>
      <c r="L193" s="31">
        <v>4705.7023799999997</v>
      </c>
      <c r="M193" s="13">
        <v>591458.89338000002</v>
      </c>
      <c r="N193" s="30">
        <v>270825</v>
      </c>
      <c r="O193" s="30">
        <v>5923</v>
      </c>
      <c r="P193" s="30">
        <v>264902</v>
      </c>
      <c r="Q193" s="30">
        <v>859739.68631000002</v>
      </c>
    </row>
    <row r="194" spans="1:18" ht="12.75" x14ac:dyDescent="0.2">
      <c r="A194" s="18" t="s">
        <v>78</v>
      </c>
      <c r="B194" s="30">
        <v>18102.121830000004</v>
      </c>
      <c r="C194" s="30">
        <v>58356.802309999999</v>
      </c>
      <c r="D194" s="30">
        <v>511265.72542000003</v>
      </c>
      <c r="E194" s="30">
        <v>2454.0201399999996</v>
      </c>
      <c r="F194" s="30">
        <v>585270.62942000001</v>
      </c>
      <c r="G194" s="30">
        <v>1.0009999999999999</v>
      </c>
      <c r="H194" s="21">
        <v>0</v>
      </c>
      <c r="I194" s="30">
        <v>18340</v>
      </c>
      <c r="J194" s="21">
        <v>0</v>
      </c>
      <c r="K194" s="13">
        <v>603611.63042000006</v>
      </c>
      <c r="L194" s="31">
        <v>4794.6662000000006</v>
      </c>
      <c r="M194" s="13">
        <v>601270.98436000012</v>
      </c>
      <c r="N194" s="30">
        <v>310805</v>
      </c>
      <c r="O194" s="30">
        <v>7461</v>
      </c>
      <c r="P194" s="30">
        <v>303344</v>
      </c>
      <c r="Q194" s="30">
        <v>906955.63042000006</v>
      </c>
    </row>
    <row r="195" spans="1:18" ht="12.75" x14ac:dyDescent="0.2">
      <c r="A195" s="18" t="s">
        <v>88</v>
      </c>
      <c r="B195" s="30">
        <v>17958.970300000001</v>
      </c>
      <c r="C195" s="30">
        <v>57730.406450000002</v>
      </c>
      <c r="D195" s="30">
        <v>505915.20506000001</v>
      </c>
      <c r="E195" s="30">
        <v>4108.1018700000004</v>
      </c>
      <c r="F195" s="30">
        <v>577496.47993999999</v>
      </c>
      <c r="G195" s="30">
        <v>0.97799999999999998</v>
      </c>
      <c r="H195" s="21">
        <v>0</v>
      </c>
      <c r="I195" s="30">
        <v>18206</v>
      </c>
      <c r="J195" s="21">
        <v>0</v>
      </c>
      <c r="K195" s="13">
        <v>595703.45793999999</v>
      </c>
      <c r="L195" s="31">
        <v>5063.7304399999994</v>
      </c>
      <c r="M195" s="13">
        <v>594747.82937000005</v>
      </c>
      <c r="N195" s="30">
        <v>322069</v>
      </c>
      <c r="O195" s="30">
        <v>10375</v>
      </c>
      <c r="P195" s="30">
        <v>311694</v>
      </c>
      <c r="Q195" s="30">
        <v>907397.45793999999</v>
      </c>
    </row>
    <row r="196" spans="1:18" ht="12.75" x14ac:dyDescent="0.2">
      <c r="A196" s="18" t="s">
        <v>89</v>
      </c>
      <c r="B196" s="30">
        <v>17601.161059999999</v>
      </c>
      <c r="C196" s="30">
        <v>56913.098520000007</v>
      </c>
      <c r="D196" s="30">
        <v>523114.52484000003</v>
      </c>
      <c r="E196" s="30">
        <v>1162.1696199999999</v>
      </c>
      <c r="F196" s="30">
        <v>596466.6148000001</v>
      </c>
      <c r="G196" s="30">
        <v>0.94599999999999995</v>
      </c>
      <c r="H196" s="21">
        <v>0</v>
      </c>
      <c r="I196" s="30">
        <v>18348</v>
      </c>
      <c r="J196" s="21">
        <v>0</v>
      </c>
      <c r="K196" s="13">
        <v>614815.56080000009</v>
      </c>
      <c r="L196" s="31">
        <v>5341.7635399999999</v>
      </c>
      <c r="M196" s="13">
        <v>610635.96688000008</v>
      </c>
      <c r="N196" s="30">
        <v>309202</v>
      </c>
      <c r="O196" s="30">
        <v>7300</v>
      </c>
      <c r="P196" s="30">
        <v>301902</v>
      </c>
      <c r="Q196" s="30">
        <v>916717.56080000009</v>
      </c>
    </row>
    <row r="197" spans="1:18" ht="12.75" x14ac:dyDescent="0.2">
      <c r="A197" s="18" t="s">
        <v>79</v>
      </c>
      <c r="B197" s="30">
        <v>17532.760240000003</v>
      </c>
      <c r="C197" s="30">
        <v>56508.180930000002</v>
      </c>
      <c r="D197" s="30">
        <v>528894.79450999992</v>
      </c>
      <c r="E197" s="30">
        <v>1940.3400200000001</v>
      </c>
      <c r="F197" s="30">
        <v>600995.39565999992</v>
      </c>
      <c r="G197" s="30">
        <v>0.93700000000000006</v>
      </c>
      <c r="H197" s="21">
        <v>0</v>
      </c>
      <c r="I197" s="30">
        <v>18393</v>
      </c>
      <c r="J197" s="21">
        <v>0</v>
      </c>
      <c r="K197" s="13">
        <v>619389.33265999996</v>
      </c>
      <c r="L197" s="31">
        <v>5611.7880400000004</v>
      </c>
      <c r="M197" s="13">
        <v>615717.88463999995</v>
      </c>
      <c r="N197" s="30">
        <v>309437</v>
      </c>
      <c r="O197" s="30">
        <v>14138</v>
      </c>
      <c r="P197" s="30">
        <v>295299</v>
      </c>
      <c r="Q197" s="30">
        <v>914688.33265999996</v>
      </c>
    </row>
    <row r="198" spans="1:18" ht="12.75" x14ac:dyDescent="0.2">
      <c r="A198" s="18" t="s">
        <v>90</v>
      </c>
      <c r="B198" s="30">
        <v>17569.340390000001</v>
      </c>
      <c r="C198" s="30">
        <v>56439.683600000004</v>
      </c>
      <c r="D198" s="30">
        <v>524060.65575999988</v>
      </c>
      <c r="E198" s="30">
        <v>1872.9017800000004</v>
      </c>
      <c r="F198" s="30">
        <v>596196.77796999994</v>
      </c>
      <c r="G198" s="30">
        <v>0.93500000000000005</v>
      </c>
      <c r="H198" s="21">
        <v>0</v>
      </c>
      <c r="I198" s="30">
        <v>18335</v>
      </c>
      <c r="J198" s="21">
        <v>0</v>
      </c>
      <c r="K198" s="13">
        <v>614532.71296999999</v>
      </c>
      <c r="L198" s="31">
        <v>5552.7307200000005</v>
      </c>
      <c r="M198" s="13">
        <v>610852.88402999996</v>
      </c>
      <c r="N198" s="30">
        <v>315889</v>
      </c>
      <c r="O198" s="30">
        <v>6489</v>
      </c>
      <c r="P198" s="30">
        <v>309400</v>
      </c>
      <c r="Q198" s="30">
        <v>923932.71296999999</v>
      </c>
    </row>
    <row r="199" spans="1:18" ht="12.75" x14ac:dyDescent="0.2">
      <c r="A199" s="18" t="s">
        <v>91</v>
      </c>
      <c r="B199" s="30">
        <v>17413.667510000003</v>
      </c>
      <c r="C199" s="30">
        <v>56349.954909999993</v>
      </c>
      <c r="D199" s="30">
        <v>499199.23186</v>
      </c>
      <c r="E199" s="30">
        <v>2276.5394099999999</v>
      </c>
      <c r="F199" s="30">
        <v>570686.31487</v>
      </c>
      <c r="G199" s="30">
        <v>0.92300000000000004</v>
      </c>
      <c r="H199" s="21">
        <v>0</v>
      </c>
      <c r="I199" s="30">
        <v>18440</v>
      </c>
      <c r="J199" s="21">
        <v>0</v>
      </c>
      <c r="K199" s="13">
        <v>589127.23786999995</v>
      </c>
      <c r="L199" s="31">
        <v>3066.1369199999999</v>
      </c>
      <c r="M199" s="13">
        <v>588337.64035999996</v>
      </c>
      <c r="N199" s="30">
        <v>310729</v>
      </c>
      <c r="O199" s="30">
        <v>6759</v>
      </c>
      <c r="P199" s="30">
        <v>303970</v>
      </c>
      <c r="Q199" s="30">
        <v>893097.23786999995</v>
      </c>
    </row>
    <row r="200" spans="1:18" ht="12.75" x14ac:dyDescent="0.2">
      <c r="A200" s="18" t="s">
        <v>80</v>
      </c>
      <c r="B200" s="30">
        <v>17394.722580000001</v>
      </c>
      <c r="C200" s="30">
        <v>56103.165489999999</v>
      </c>
      <c r="D200" s="30">
        <v>503405.87757999991</v>
      </c>
      <c r="E200" s="30">
        <v>3235.4159599999998</v>
      </c>
      <c r="F200" s="30">
        <v>573668.34968999994</v>
      </c>
      <c r="G200" s="30">
        <v>0.92300000000000004</v>
      </c>
      <c r="H200" s="21">
        <v>0</v>
      </c>
      <c r="I200" s="30">
        <v>18333</v>
      </c>
      <c r="J200" s="21">
        <v>0</v>
      </c>
      <c r="K200" s="13">
        <v>592002.2726899999</v>
      </c>
      <c r="L200" s="31">
        <v>3394.9717999999998</v>
      </c>
      <c r="M200" s="13">
        <v>591842.71684999985</v>
      </c>
      <c r="N200" s="30">
        <v>278903</v>
      </c>
      <c r="O200" s="30">
        <v>6472</v>
      </c>
      <c r="P200" s="30">
        <v>272431</v>
      </c>
      <c r="Q200" s="30">
        <v>864433.2726899999</v>
      </c>
    </row>
    <row r="201" spans="1:18" ht="12.75" x14ac:dyDescent="0.2">
      <c r="A201" s="18" t="s">
        <v>92</v>
      </c>
      <c r="B201" s="30">
        <v>17290.855130000004</v>
      </c>
      <c r="C201" s="30">
        <v>55575.408090000004</v>
      </c>
      <c r="D201" s="30">
        <v>486461.54339000001</v>
      </c>
      <c r="E201" s="30">
        <v>1929.0608999999999</v>
      </c>
      <c r="F201" s="30">
        <v>557398.74570999993</v>
      </c>
      <c r="G201" s="30">
        <v>0.90900000000000003</v>
      </c>
      <c r="H201" s="21">
        <v>0</v>
      </c>
      <c r="I201" s="30">
        <v>18248</v>
      </c>
      <c r="J201" s="21">
        <v>0</v>
      </c>
      <c r="K201" s="13">
        <v>575647.65470999992</v>
      </c>
      <c r="L201" s="31">
        <v>3734.7678599999995</v>
      </c>
      <c r="M201" s="13">
        <v>573841.94774999993</v>
      </c>
      <c r="N201" s="30">
        <v>260441</v>
      </c>
      <c r="O201" s="30">
        <v>7837</v>
      </c>
      <c r="P201" s="30">
        <v>252604</v>
      </c>
      <c r="Q201" s="30">
        <v>828251.65470999992</v>
      </c>
    </row>
    <row r="202" spans="1:18" ht="12.75" x14ac:dyDescent="0.2">
      <c r="A202" s="18" t="s">
        <v>93</v>
      </c>
      <c r="B202" s="30">
        <v>17192.056499999999</v>
      </c>
      <c r="C202" s="30">
        <v>55670.861290000001</v>
      </c>
      <c r="D202" s="30">
        <v>487246.11034999997</v>
      </c>
      <c r="E202" s="30">
        <v>2611.7051900000001</v>
      </c>
      <c r="F202" s="30">
        <v>557497.32294999994</v>
      </c>
      <c r="G202" s="30">
        <v>1.8</v>
      </c>
      <c r="H202" s="21">
        <v>0</v>
      </c>
      <c r="I202" s="30">
        <v>18394</v>
      </c>
      <c r="J202" s="21">
        <v>0</v>
      </c>
      <c r="K202" s="13">
        <v>575893.12294999999</v>
      </c>
      <c r="L202" s="31">
        <v>4063.6027000000004</v>
      </c>
      <c r="M202" s="13">
        <v>574441.22543999995</v>
      </c>
      <c r="N202" s="30">
        <v>247232</v>
      </c>
      <c r="O202" s="30">
        <v>8721</v>
      </c>
      <c r="P202" s="30">
        <v>238511</v>
      </c>
      <c r="Q202" s="30">
        <v>814404.12294999999</v>
      </c>
    </row>
    <row r="203" spans="1:18" ht="12.75" x14ac:dyDescent="0.2">
      <c r="A203" s="18" t="s">
        <v>81</v>
      </c>
      <c r="B203" s="30">
        <v>17352.196919999998</v>
      </c>
      <c r="C203" s="30">
        <v>55975.411460000003</v>
      </c>
      <c r="D203" s="30">
        <v>503119.43374999997</v>
      </c>
      <c r="E203" s="30">
        <v>2585.75371</v>
      </c>
      <c r="F203" s="30">
        <v>573861.28842</v>
      </c>
      <c r="G203" s="30">
        <v>2.9</v>
      </c>
      <c r="H203" s="21">
        <v>0</v>
      </c>
      <c r="I203" s="30">
        <v>18674</v>
      </c>
      <c r="J203" s="21">
        <v>0</v>
      </c>
      <c r="K203" s="13">
        <v>592538.18842000002</v>
      </c>
      <c r="L203" s="31">
        <v>6117.6843600000002</v>
      </c>
      <c r="M203" s="13">
        <v>589006.25777000003</v>
      </c>
      <c r="N203" s="30">
        <v>271115</v>
      </c>
      <c r="O203" s="30">
        <v>7061</v>
      </c>
      <c r="P203" s="30">
        <v>264054</v>
      </c>
      <c r="Q203" s="30">
        <v>856592.18842000002</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6457.4804199999999</v>
      </c>
      <c r="M205" s="13">
        <v>571880.57046999992</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4904.4271999999992</v>
      </c>
      <c r="M206" s="13">
        <v>556724.75971999986</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4957.8940200000006</v>
      </c>
      <c r="M207" s="13">
        <v>550754.88692999992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5274.7075200000008</v>
      </c>
      <c r="M208" s="13">
        <v>538501.71687999996</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5602.0814</v>
      </c>
      <c r="M209" s="13">
        <v>537122.85230999999</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5918.8949000000002</v>
      </c>
      <c r="M210" s="13">
        <v>553216.29882000003</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5639.2397200000005</v>
      </c>
      <c r="M211" s="13">
        <v>556420.14217141585</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4256.4102599999997</v>
      </c>
      <c r="M212" s="13">
        <v>555292.99820999999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4429.0852800000002</v>
      </c>
      <c r="M213" s="13">
        <v>543605.14285000006</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4647.1433200000001</v>
      </c>
      <c r="M214" s="13">
        <v>528752.51212999993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4580.1724399999994</v>
      </c>
      <c r="M215" s="13">
        <v>516024.82057999994</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3073.7640999999994</v>
      </c>
      <c r="M216" s="13">
        <v>557249.29050999996</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3306.1747199999995</v>
      </c>
      <c r="M218" s="13">
        <v>542298.55651000014</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2682.7537399999997</v>
      </c>
      <c r="M219" s="13">
        <v>518326.65744000004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2361.6305200000002</v>
      </c>
      <c r="M220" s="13">
        <v>524401.03000000014</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2524.5937599999997</v>
      </c>
      <c r="M221" s="13">
        <v>535754.51085000008</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2483.0789199999999</v>
      </c>
      <c r="M222" s="13">
        <v>534594.19574999996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2621.4838400000003</v>
      </c>
      <c r="M223" s="13">
        <v>585972.77410999988</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2397.1244999999999</v>
      </c>
      <c r="M224" s="13">
        <v>618223.94123999984</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2435.3774600000006</v>
      </c>
      <c r="M225" s="13">
        <v>653199.70557999983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2413.4630200000001</v>
      </c>
      <c r="M226" s="13">
        <v>670584.73886999988</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2486.8917200000001</v>
      </c>
      <c r="M227" s="13">
        <v>694958.95847000007</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2548.34114</v>
      </c>
      <c r="M228" s="13">
        <v>694119.82802461786</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2644.3768400000004</v>
      </c>
      <c r="M229" s="13">
        <v>699608.31841999991</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2742.6791999999996</v>
      </c>
      <c r="M231" s="13">
        <v>697885.45828000002</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1921.39048</v>
      </c>
      <c r="M232" s="13">
        <v>710202.81279</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1955.0652399999999</v>
      </c>
      <c r="M233" s="13">
        <v>704669.01682999986</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1979.6511200000002</v>
      </c>
      <c r="M234" s="13">
        <v>697291.53812999988</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2038.9073800000003</v>
      </c>
      <c r="M235" s="13">
        <v>697974.74378000002</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2037.6175799999999</v>
      </c>
      <c r="M236" s="13">
        <v>711658.24286999996</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1875.7430799999997</v>
      </c>
      <c r="M237" s="13">
        <v>720664.14477000001</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1782.0862</v>
      </c>
      <c r="M238" s="13">
        <v>817207.72433999984</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1835.9126800000001</v>
      </c>
      <c r="M239" s="13">
        <v>823908.11329999997</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1930.5820000000001</v>
      </c>
      <c r="M240" s="13">
        <v>821759.10255999991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2145.8918600000002</v>
      </c>
      <c r="M241" s="13">
        <v>825489.65194000024</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2347.7121799999995</v>
      </c>
      <c r="M242" s="13">
        <v>848003.56273000001</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2566.5346399999994</v>
      </c>
      <c r="M244" s="13">
        <v>836392.48388000007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30">
        <v>0</v>
      </c>
      <c r="K245" s="30">
        <v>845609.11164000002</v>
      </c>
      <c r="L245" s="30">
        <v>2065.2795999999998</v>
      </c>
      <c r="M245" s="30">
        <v>851474.75370999996</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30">
        <v>0</v>
      </c>
      <c r="K246" s="30">
        <v>865121.34457000007</v>
      </c>
      <c r="L246" s="30">
        <v>2269.9727600000001</v>
      </c>
      <c r="M246" s="30">
        <v>866661.03211000003</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30">
        <v>0</v>
      </c>
      <c r="K247" s="30">
        <v>843973.74840000004</v>
      </c>
      <c r="L247" s="30">
        <v>2590.4100800000001</v>
      </c>
      <c r="M247" s="30">
        <v>843570.1418300001</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30">
        <v>0</v>
      </c>
      <c r="K248" s="30">
        <v>903265.7977900001</v>
      </c>
      <c r="L248" s="30">
        <v>2661.33878</v>
      </c>
      <c r="M248" s="30">
        <v>905698.54873000016</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30">
        <v>0</v>
      </c>
      <c r="K249" s="30">
        <v>914147.19496000023</v>
      </c>
      <c r="L249" s="30">
        <v>2965.4812999999999</v>
      </c>
      <c r="M249" s="30">
        <v>913024.82539000025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30">
        <v>0</v>
      </c>
      <c r="K250" s="30">
        <v>914306.00572000002</v>
      </c>
      <c r="L250" s="30">
        <v>3353.6857399999999</v>
      </c>
      <c r="M250" s="30">
        <v>917704.15665000002</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30">
        <v>0</v>
      </c>
      <c r="K251" s="30">
        <v>945414.95619000006</v>
      </c>
      <c r="L251" s="30">
        <v>2888.1472799999997</v>
      </c>
      <c r="M251" s="30">
        <v>944517.08143000002</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30">
        <v>0</v>
      </c>
      <c r="K252" s="30">
        <v>954300.72609000036</v>
      </c>
      <c r="L252" s="30">
        <v>3234.7410800000002</v>
      </c>
      <c r="M252" s="30">
        <v>953176.67966000037</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30">
        <v>0</v>
      </c>
      <c r="K253" s="30">
        <v>932001.13309999998</v>
      </c>
      <c r="L253" s="30">
        <v>3642.0712000000003</v>
      </c>
      <c r="M253" s="30">
        <v>934127.00605999993</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30">
        <v>0</v>
      </c>
      <c r="K254" s="30">
        <v>952503.51251999976</v>
      </c>
      <c r="L254" s="30">
        <v>3509.3841399999997</v>
      </c>
      <c r="M254" s="30">
        <v>951652.55337999982</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30">
        <v>0</v>
      </c>
      <c r="K255" s="30">
        <v>965958.35908999993</v>
      </c>
      <c r="L255" s="30">
        <v>4646.3988800000006</v>
      </c>
      <c r="M255" s="30">
        <v>964046.99416999996</v>
      </c>
      <c r="N255" s="30">
        <v>576868</v>
      </c>
      <c r="O255" s="30">
        <v>24086</v>
      </c>
      <c r="P255" s="30">
        <v>552782</v>
      </c>
      <c r="Q255" s="30">
        <v>1518740.3590899999</v>
      </c>
    </row>
    <row r="256" spans="1:21" ht="12.75" x14ac:dyDescent="0.2">
      <c r="A256" s="37">
        <v>2023</v>
      </c>
    </row>
    <row r="257" spans="1:21"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5117.3239000000003</v>
      </c>
      <c r="M257" s="30">
        <v>959379.09854999988</v>
      </c>
      <c r="N257" s="30">
        <v>655237</v>
      </c>
      <c r="O257" s="30">
        <v>28734</v>
      </c>
      <c r="P257" s="30">
        <v>626503</v>
      </c>
      <c r="Q257" s="30">
        <v>1589605.9924999997</v>
      </c>
    </row>
    <row r="258" spans="1:21"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5082.7793800000009</v>
      </c>
      <c r="M258" s="30">
        <v>973109.16132000007</v>
      </c>
      <c r="N258" s="30">
        <v>694890</v>
      </c>
      <c r="O258" s="30">
        <v>22055</v>
      </c>
      <c r="P258" s="30">
        <v>672835</v>
      </c>
      <c r="Q258" s="30">
        <v>1644809.5373</v>
      </c>
    </row>
    <row r="259" spans="1:21"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4331.2317400000002</v>
      </c>
      <c r="M259" s="30">
        <v>992418.37722000002</v>
      </c>
      <c r="N259" s="30">
        <v>725002</v>
      </c>
      <c r="O259" s="30">
        <v>23460</v>
      </c>
      <c r="P259" s="30">
        <v>701542</v>
      </c>
      <c r="Q259" s="30">
        <v>1693669.4998999999</v>
      </c>
    </row>
    <row r="260" spans="1:21"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5070.35538</v>
      </c>
      <c r="M260" s="30">
        <v>967457.88665</v>
      </c>
      <c r="N260" s="30">
        <v>758196</v>
      </c>
      <c r="O260" s="30">
        <v>25277</v>
      </c>
      <c r="P260" s="30">
        <v>732919</v>
      </c>
      <c r="Q260" s="30">
        <v>1702163.9884799998</v>
      </c>
    </row>
    <row r="261" spans="1:21"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4831.4711200000002</v>
      </c>
      <c r="M261" s="30">
        <v>1051610.7291300001</v>
      </c>
      <c r="N261" s="30">
        <v>778797</v>
      </c>
      <c r="O261" s="30">
        <v>23775</v>
      </c>
      <c r="P261" s="30">
        <v>755022</v>
      </c>
      <c r="Q261" s="30">
        <v>1810032.2207800001</v>
      </c>
    </row>
    <row r="262" spans="1:21"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4393.4828399999997</v>
      </c>
      <c r="M262" s="30">
        <v>1045863.5207000002</v>
      </c>
      <c r="N262" s="30">
        <v>760642</v>
      </c>
      <c r="O262" s="30">
        <v>22757</v>
      </c>
      <c r="P262" s="30">
        <v>737885</v>
      </c>
      <c r="Q262" s="30">
        <v>1786490.6899600001</v>
      </c>
      <c r="U262" s="40"/>
    </row>
    <row r="263" spans="1:21"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4872.8282399999998</v>
      </c>
      <c r="M263" s="30">
        <v>1047911.2008800001</v>
      </c>
      <c r="N263" s="30">
        <v>743490</v>
      </c>
      <c r="O263" s="30">
        <v>24976</v>
      </c>
      <c r="P263" s="30">
        <v>718514</v>
      </c>
      <c r="Q263" s="30">
        <v>1765973.5639800001</v>
      </c>
    </row>
    <row r="264" spans="1:21"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4321.0409200000004</v>
      </c>
      <c r="M264" s="30">
        <v>1028555.8675399999</v>
      </c>
      <c r="N264" s="30">
        <v>736142</v>
      </c>
      <c r="O264" s="30">
        <v>23572</v>
      </c>
      <c r="P264" s="30">
        <v>712570</v>
      </c>
      <c r="Q264" s="30">
        <v>1741393.05381</v>
      </c>
    </row>
    <row r="265" spans="1:21"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5417.0477199999996</v>
      </c>
      <c r="M265" s="30">
        <v>1047499.82435</v>
      </c>
      <c r="N265" s="30">
        <v>713870</v>
      </c>
      <c r="O265" s="30">
        <v>26112</v>
      </c>
      <c r="P265" s="30">
        <v>687758</v>
      </c>
      <c r="Q265" s="30">
        <v>1738021.6446700001</v>
      </c>
    </row>
    <row r="266" spans="1:21"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4856.4905799999997</v>
      </c>
      <c r="M266" s="30">
        <v>1021972.8778099999</v>
      </c>
      <c r="N266" s="30">
        <v>679524</v>
      </c>
      <c r="O266" s="30">
        <v>25446</v>
      </c>
      <c r="P266" s="30">
        <v>654078</v>
      </c>
      <c r="Q266" s="30">
        <v>1677990.8926799998</v>
      </c>
    </row>
    <row r="267" spans="1:21"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4909.3009200000006</v>
      </c>
      <c r="M267" s="30">
        <v>1030612.12609</v>
      </c>
      <c r="N267" s="30">
        <v>633248</v>
      </c>
      <c r="O267" s="30">
        <v>21461</v>
      </c>
      <c r="P267" s="30">
        <v>611787</v>
      </c>
      <c r="Q267" s="30">
        <v>1644673.54348</v>
      </c>
    </row>
    <row r="268" spans="1:21"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4310.5036</v>
      </c>
      <c r="M268" s="30">
        <v>947228.70724999998</v>
      </c>
      <c r="N268" s="30">
        <v>710141</v>
      </c>
      <c r="O268" s="30">
        <v>59026</v>
      </c>
      <c r="P268" s="30">
        <v>651115</v>
      </c>
      <c r="Q268" s="30">
        <v>1599960.0445400001</v>
      </c>
    </row>
    <row r="269" spans="1:21" ht="12.75" x14ac:dyDescent="0.2">
      <c r="A269" s="37">
        <v>2024</v>
      </c>
    </row>
    <row r="270" spans="1:21"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3975.3498400000003</v>
      </c>
      <c r="M270" s="30">
        <v>936651.14030999981</v>
      </c>
      <c r="N270" s="30">
        <v>770514</v>
      </c>
      <c r="O270" s="30">
        <v>62918</v>
      </c>
      <c r="P270" s="30">
        <v>707596</v>
      </c>
      <c r="Q270" s="30">
        <v>1646159.6724699999</v>
      </c>
    </row>
    <row r="271" spans="1:21"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3640.5927999999999</v>
      </c>
      <c r="M271" s="30">
        <v>940910.41125</v>
      </c>
      <c r="N271" s="30">
        <v>833209</v>
      </c>
      <c r="O271" s="30">
        <v>64497</v>
      </c>
      <c r="P271" s="30">
        <v>768712</v>
      </c>
      <c r="Q271" s="30">
        <v>1712198.3215700001</v>
      </c>
    </row>
    <row r="272" spans="1:21"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4588.5812800000003</v>
      </c>
      <c r="M272" s="30">
        <v>949630.13931999984</v>
      </c>
      <c r="N272" s="30">
        <v>921415</v>
      </c>
      <c r="O272" s="30">
        <v>62631</v>
      </c>
      <c r="P272" s="30">
        <v>858784</v>
      </c>
      <c r="Q272" s="30">
        <v>1810749.4971599998</v>
      </c>
      <c r="R272" s="30"/>
    </row>
    <row r="273" spans="1:21"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3877.5301600000003</v>
      </c>
      <c r="M273" s="30">
        <v>961820.03412999981</v>
      </c>
      <c r="N273" s="30">
        <v>973329</v>
      </c>
      <c r="O273" s="30">
        <v>63373</v>
      </c>
      <c r="P273" s="30">
        <v>909956</v>
      </c>
      <c r="Q273" s="30">
        <v>1874180.3712799996</v>
      </c>
    </row>
    <row r="274" spans="1:21"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3981.4465399999999</v>
      </c>
      <c r="M274" s="30">
        <v>1035454.09583</v>
      </c>
      <c r="N274" s="30">
        <v>1041530</v>
      </c>
      <c r="O274" s="30">
        <v>60478</v>
      </c>
      <c r="P274" s="30">
        <v>981052</v>
      </c>
      <c r="Q274" s="30">
        <v>2019018.07815</v>
      </c>
    </row>
    <row r="275" spans="1:21"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5226.1802800000005</v>
      </c>
      <c r="M275" s="30">
        <v>1031108.56014</v>
      </c>
      <c r="N275" s="30">
        <v>1035403</v>
      </c>
      <c r="O275" s="30">
        <v>58237</v>
      </c>
      <c r="P275" s="30">
        <v>977166</v>
      </c>
      <c r="Q275" s="30">
        <v>2010561.51199</v>
      </c>
      <c r="U275" s="40"/>
    </row>
    <row r="276" spans="1:21"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5226.5934000000007</v>
      </c>
      <c r="M276" s="30">
        <v>997386.72611000005</v>
      </c>
      <c r="N276" s="30">
        <v>1021804</v>
      </c>
      <c r="O276" s="30">
        <v>62574</v>
      </c>
      <c r="P276" s="30">
        <v>959230</v>
      </c>
      <c r="Q276" s="30">
        <v>1958100.84828</v>
      </c>
    </row>
    <row r="277" spans="1:21"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5913.1313000000009</v>
      </c>
      <c r="M277" s="30">
        <v>1018527.7026299997</v>
      </c>
      <c r="N277" s="30">
        <v>986853</v>
      </c>
      <c r="O277" s="30">
        <v>58597</v>
      </c>
      <c r="P277" s="30">
        <v>928256</v>
      </c>
      <c r="Q277" s="30">
        <v>1949851.2872299999</v>
      </c>
    </row>
    <row r="278" spans="1:21"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3600.7601199999999</v>
      </c>
      <c r="M278" s="30">
        <v>1015481.4306099999</v>
      </c>
      <c r="N278" s="30">
        <v>966454</v>
      </c>
      <c r="O278" s="30">
        <v>56576</v>
      </c>
      <c r="P278" s="30">
        <v>909878</v>
      </c>
      <c r="Q278" s="30">
        <v>1926078.43499</v>
      </c>
    </row>
    <row r="279" spans="1:21"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4375.0484000000006</v>
      </c>
      <c r="M279" s="30">
        <v>994873.12266999995</v>
      </c>
      <c r="N279" s="30">
        <v>964176</v>
      </c>
      <c r="O279" s="30">
        <v>60275</v>
      </c>
      <c r="P279" s="30">
        <v>903901</v>
      </c>
      <c r="Q279" s="30">
        <v>1900648.69144</v>
      </c>
    </row>
    <row r="280" spans="1:21"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5473.9684999999999</v>
      </c>
      <c r="M280" s="30">
        <v>991517.33813999989</v>
      </c>
      <c r="N280" s="30">
        <v>933136</v>
      </c>
      <c r="O280" s="30">
        <v>54050</v>
      </c>
      <c r="P280" s="30">
        <v>879086</v>
      </c>
      <c r="Q280" s="30">
        <v>1873605.1572099999</v>
      </c>
    </row>
    <row r="281" spans="1:21"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c r="K281" s="30">
        <v>1000591.3862399998</v>
      </c>
      <c r="L281" s="30">
        <v>4783.3447600000009</v>
      </c>
      <c r="M281" s="30">
        <v>996505.67794999981</v>
      </c>
      <c r="N281" s="30">
        <v>996202</v>
      </c>
      <c r="O281" s="30">
        <v>53613</v>
      </c>
      <c r="P281" s="30">
        <v>942589</v>
      </c>
      <c r="Q281" s="30">
        <v>1943180.3862399999</v>
      </c>
    </row>
    <row r="282" spans="1:21" ht="12.75" x14ac:dyDescent="0.2">
      <c r="A282" s="37">
        <v>2025</v>
      </c>
    </row>
    <row r="283" spans="1:21" ht="12.75" x14ac:dyDescent="0.2">
      <c r="A283" s="42" t="s">
        <v>86</v>
      </c>
      <c r="B283" s="30">
        <v>17069.512620000001</v>
      </c>
      <c r="C283" s="30">
        <v>97242.082129999995</v>
      </c>
      <c r="D283" s="30">
        <v>856712.77696999989</v>
      </c>
      <c r="E283" s="30">
        <v>628.57207000000028</v>
      </c>
      <c r="F283" s="30">
        <v>970395.79964999994</v>
      </c>
      <c r="G283" s="30">
        <v>2.86</v>
      </c>
      <c r="H283" s="30">
        <v>0</v>
      </c>
      <c r="I283" s="30">
        <v>18893.45</v>
      </c>
      <c r="J283" s="30">
        <v>0</v>
      </c>
      <c r="K283" s="30">
        <v>989292.10964999988</v>
      </c>
      <c r="L283" s="30">
        <v>5603.2927599999994</v>
      </c>
      <c r="M283" s="30">
        <v>984317.38895999989</v>
      </c>
      <c r="N283" s="30">
        <v>1069125</v>
      </c>
      <c r="O283" s="30">
        <v>55699</v>
      </c>
      <c r="P283" s="30">
        <v>1013426</v>
      </c>
      <c r="Q283" s="30">
        <v>2002718.10965</v>
      </c>
    </row>
    <row r="284" spans="1:21" ht="12.75" x14ac:dyDescent="0.2">
      <c r="A284" s="42" t="s">
        <v>87</v>
      </c>
      <c r="B284" s="30">
        <v>16212.27015</v>
      </c>
      <c r="C284" s="30">
        <v>97609.846269999995</v>
      </c>
      <c r="D284" s="30">
        <v>909179.52955000009</v>
      </c>
      <c r="E284" s="30">
        <v>1324.2526100000002</v>
      </c>
      <c r="F284" s="30">
        <v>1021677.3933600001</v>
      </c>
      <c r="G284" s="30">
        <v>2.86</v>
      </c>
      <c r="H284" s="30">
        <v>0</v>
      </c>
      <c r="I284" s="30">
        <v>18893.45</v>
      </c>
      <c r="J284" s="30">
        <v>0</v>
      </c>
      <c r="K284" s="30">
        <v>1040573.70336</v>
      </c>
      <c r="L284" s="30">
        <v>5123.9446999999991</v>
      </c>
      <c r="M284" s="30">
        <v>1036774.01127</v>
      </c>
      <c r="N284" s="30">
        <v>1110849</v>
      </c>
      <c r="O284" s="30">
        <v>52620</v>
      </c>
      <c r="P284" s="30">
        <v>1058229</v>
      </c>
      <c r="Q284" s="30">
        <v>2098802.7033600002</v>
      </c>
    </row>
    <row r="285" spans="1:21" ht="12.75" x14ac:dyDescent="0.2">
      <c r="A285" s="42" t="s">
        <v>78</v>
      </c>
      <c r="B285" s="30">
        <v>16456.159510000001</v>
      </c>
      <c r="C285" s="30">
        <v>99078.240420000002</v>
      </c>
      <c r="D285" s="30">
        <v>953152.95322000014</v>
      </c>
      <c r="E285" s="30">
        <v>984.5026399999997</v>
      </c>
      <c r="F285" s="30">
        <v>1067702.85051</v>
      </c>
      <c r="G285" s="30">
        <v>2.86</v>
      </c>
      <c r="H285" s="30">
        <v>0</v>
      </c>
      <c r="I285" s="30">
        <v>18748.349999999999</v>
      </c>
      <c r="J285" s="30">
        <v>0</v>
      </c>
      <c r="K285" s="30">
        <v>1086454.0605100002</v>
      </c>
      <c r="L285" s="30">
        <v>4294.0328599999993</v>
      </c>
      <c r="M285" s="30">
        <v>1083144.5302900004</v>
      </c>
      <c r="N285" s="30">
        <v>1132615</v>
      </c>
      <c r="O285" s="30">
        <v>52403</v>
      </c>
      <c r="P285" s="30">
        <v>1080212</v>
      </c>
      <c r="Q285" s="30">
        <v>2166666.0605100002</v>
      </c>
    </row>
    <row r="286" spans="1:21" ht="12.75" x14ac:dyDescent="0.2">
      <c r="A286" s="42" t="s">
        <v>88</v>
      </c>
      <c r="B286" s="30">
        <v>16795.743109999999</v>
      </c>
      <c r="C286" s="30">
        <v>101122.78467000001</v>
      </c>
      <c r="D286" s="30">
        <v>976637.31435000023</v>
      </c>
      <c r="E286" s="30">
        <v>477.03005999999959</v>
      </c>
      <c r="F286" s="30">
        <v>1094078.8120700002</v>
      </c>
      <c r="G286" s="30">
        <v>2.86</v>
      </c>
      <c r="H286" s="30">
        <v>0</v>
      </c>
      <c r="I286" s="30">
        <v>18748.349999999999</v>
      </c>
      <c r="J286" s="30">
        <v>0</v>
      </c>
      <c r="K286" s="30">
        <v>1112830.0220700004</v>
      </c>
      <c r="L286" s="30">
        <v>5043.6064800000004</v>
      </c>
      <c r="M286" s="30">
        <v>1108263.4456500004</v>
      </c>
      <c r="N286" s="30">
        <v>1121277</v>
      </c>
      <c r="O286" s="30">
        <v>55269</v>
      </c>
      <c r="P286" s="30">
        <v>1066008</v>
      </c>
      <c r="Q286" s="30">
        <v>2178838.0220700004</v>
      </c>
    </row>
    <row r="287" spans="1:21" ht="12.75" x14ac:dyDescent="0.2">
      <c r="A287" s="42" t="s">
        <v>89</v>
      </c>
      <c r="B287" s="30">
        <v>16795.743109999999</v>
      </c>
      <c r="C287" s="30">
        <v>101104.91485</v>
      </c>
      <c r="D287" s="30">
        <v>1025316.35613</v>
      </c>
      <c r="E287" s="30">
        <v>804.39065000000039</v>
      </c>
      <c r="F287" s="30">
        <v>1142412.62344</v>
      </c>
      <c r="G287" s="30">
        <v>2.86</v>
      </c>
      <c r="H287" s="30">
        <v>0</v>
      </c>
      <c r="I287" s="30">
        <v>18748.349999999999</v>
      </c>
      <c r="J287" s="30">
        <v>0</v>
      </c>
      <c r="K287" s="30">
        <v>1161163.8334400002</v>
      </c>
      <c r="L287" s="30">
        <v>6204.1754000000001</v>
      </c>
      <c r="M287" s="30">
        <v>1155764.0486900001</v>
      </c>
      <c r="N287" s="30">
        <v>1038193</v>
      </c>
      <c r="O287" s="30">
        <v>47751</v>
      </c>
      <c r="P287" s="30">
        <v>990442</v>
      </c>
      <c r="Q287" s="30">
        <v>2151605.8334400002</v>
      </c>
    </row>
    <row r="288" spans="1:21" ht="12.75" x14ac:dyDescent="0.2">
      <c r="A288" s="42" t="s">
        <v>79</v>
      </c>
      <c r="B288" s="30">
        <v>17017.314340000001</v>
      </c>
      <c r="C288" s="30">
        <v>102438.3763</v>
      </c>
      <c r="D288" s="30">
        <v>1014715.34627</v>
      </c>
      <c r="E288" s="30">
        <v>500.17692999999969</v>
      </c>
      <c r="F288" s="30">
        <v>1133670.85998</v>
      </c>
      <c r="G288" s="30">
        <v>2.86</v>
      </c>
      <c r="H288" s="30">
        <v>0</v>
      </c>
      <c r="I288" s="30">
        <v>18748.349999999999</v>
      </c>
      <c r="J288" s="30">
        <v>0</v>
      </c>
      <c r="K288" s="30">
        <v>1152422.0699800001</v>
      </c>
      <c r="L288" s="30">
        <v>5887.7608200000004</v>
      </c>
      <c r="M288" s="30">
        <v>1147034.4860900003</v>
      </c>
      <c r="N288" s="30">
        <v>1055433</v>
      </c>
      <c r="O288" s="30">
        <v>48163</v>
      </c>
      <c r="P288" s="30">
        <v>1007270</v>
      </c>
      <c r="Q288" s="30">
        <v>2159692.0699800001</v>
      </c>
    </row>
    <row r="289" spans="1:17" ht="12.75" x14ac:dyDescent="0.2">
      <c r="A289" s="42" t="s">
        <v>90</v>
      </c>
      <c r="B289" s="30">
        <v>16780.837520000001</v>
      </c>
      <c r="C289" s="30">
        <v>101014.86723999999</v>
      </c>
      <c r="D289" s="30">
        <v>1008405.2465899999</v>
      </c>
      <c r="E289" s="30">
        <v>2162.0397399999993</v>
      </c>
      <c r="F289" s="30">
        <v>1124038.9116099998</v>
      </c>
      <c r="G289" s="30">
        <v>2.86</v>
      </c>
      <c r="H289" s="30">
        <v>0</v>
      </c>
      <c r="I289" s="30">
        <v>18748.349999999999</v>
      </c>
      <c r="J289" s="30">
        <v>0</v>
      </c>
      <c r="K289" s="30">
        <v>1142790.12161</v>
      </c>
      <c r="L289" s="30">
        <v>6542.6583400000009</v>
      </c>
      <c r="M289" s="30">
        <v>1138409.5030099999</v>
      </c>
      <c r="N289" s="30">
        <v>1020885</v>
      </c>
      <c r="O289" s="30">
        <v>42608</v>
      </c>
      <c r="P289" s="30">
        <v>978277</v>
      </c>
      <c r="Q289" s="30">
        <v>2121067.1216099998</v>
      </c>
    </row>
    <row r="290" spans="1:17" ht="12.75" x14ac:dyDescent="0.2">
      <c r="A290" s="42" t="s">
        <v>91</v>
      </c>
      <c r="B290" s="30">
        <v>16950.911090000001</v>
      </c>
      <c r="C290" s="30">
        <v>102020.94683</v>
      </c>
      <c r="D290" s="30">
        <v>1011186.0902399999</v>
      </c>
      <c r="E290" s="30">
        <v>523.5712000000002</v>
      </c>
      <c r="F290" s="30">
        <v>1129634.37696</v>
      </c>
      <c r="G290" s="30">
        <v>2.86</v>
      </c>
      <c r="H290" s="30">
        <v>0</v>
      </c>
      <c r="I290" s="30">
        <v>18748.349999999999</v>
      </c>
      <c r="J290" s="30">
        <v>0</v>
      </c>
      <c r="K290" s="30">
        <v>1148385.5869600002</v>
      </c>
      <c r="L290" s="30">
        <v>7280.2454800000005</v>
      </c>
      <c r="M290" s="30">
        <v>1141628.9126800001</v>
      </c>
      <c r="N290" s="30">
        <v>1009610</v>
      </c>
      <c r="O290" s="30">
        <v>36646</v>
      </c>
      <c r="P290" s="30">
        <v>972964</v>
      </c>
      <c r="Q290" s="30">
        <v>2121349.58696</v>
      </c>
    </row>
    <row r="291" spans="1:17" ht="12.75" x14ac:dyDescent="0.2">
      <c r="A291" s="42" t="s">
        <v>80</v>
      </c>
      <c r="B291" s="30">
        <v>16979.774799999999</v>
      </c>
      <c r="C291" s="30">
        <v>102194.66627</v>
      </c>
      <c r="D291" s="30">
        <v>1026569.0135400002</v>
      </c>
      <c r="E291" s="30">
        <v>400.38849000000022</v>
      </c>
      <c r="F291" s="30">
        <v>1145343.0661200001</v>
      </c>
      <c r="G291" s="30">
        <v>2.86</v>
      </c>
      <c r="H291" s="30">
        <v>0</v>
      </c>
      <c r="I291" s="30">
        <v>18748.349999999999</v>
      </c>
      <c r="J291" s="30">
        <v>0</v>
      </c>
      <c r="K291" s="30">
        <v>1164094.2761200003</v>
      </c>
      <c r="L291" s="30">
        <v>4409.2412599999998</v>
      </c>
      <c r="M291" s="30">
        <v>936651.14030999981</v>
      </c>
      <c r="N291" s="30">
        <v>985042</v>
      </c>
      <c r="O291" s="30">
        <v>38952</v>
      </c>
      <c r="P291" s="30">
        <v>946090</v>
      </c>
      <c r="Q291" s="30">
        <v>2110184.2761200005</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65:L165 J140:K144 J139:L139 J127:K138 J126:L126 J114:K125 J113:L113 J101:K112 H102:I109 H101 H82 H111:I139 H110 H140:H144 J178:L178 K191:L19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48" t="s">
        <v>85</v>
      </c>
      <c r="B1" s="48"/>
      <c r="C1" s="48"/>
      <c r="D1" s="48"/>
      <c r="E1" s="48"/>
      <c r="F1" s="48"/>
      <c r="G1" s="48"/>
      <c r="H1" s="48"/>
      <c r="I1" s="48"/>
      <c r="J1" s="48"/>
      <c r="K1" s="48"/>
      <c r="L1" s="48"/>
    </row>
    <row r="2" spans="1:12" x14ac:dyDescent="0.2">
      <c r="A2" s="24"/>
      <c r="B2" s="25"/>
      <c r="C2" s="25"/>
      <c r="D2" s="25"/>
      <c r="E2" s="25"/>
      <c r="F2" s="25"/>
      <c r="G2" s="25"/>
      <c r="H2" s="25"/>
      <c r="I2" s="25"/>
      <c r="J2" s="25"/>
      <c r="K2" s="25"/>
      <c r="L2" s="25"/>
    </row>
    <row r="3" spans="1:12" ht="66" customHeight="1" x14ac:dyDescent="0.2">
      <c r="A3" s="49" t="s">
        <v>72</v>
      </c>
      <c r="B3" s="49"/>
      <c r="C3" s="49"/>
      <c r="D3" s="49"/>
      <c r="E3" s="49"/>
      <c r="F3" s="49"/>
      <c r="G3" s="49"/>
      <c r="H3" s="49"/>
      <c r="I3" s="49"/>
      <c r="J3" s="49"/>
      <c r="K3" s="49"/>
      <c r="L3" s="49"/>
    </row>
    <row r="4" spans="1:12" x14ac:dyDescent="0.2">
      <c r="A4" s="26"/>
      <c r="B4" s="26"/>
      <c r="C4" s="26"/>
      <c r="D4" s="26"/>
      <c r="E4" s="26"/>
      <c r="F4" s="26"/>
      <c r="G4" s="26"/>
      <c r="H4" s="26"/>
      <c r="I4" s="26"/>
      <c r="J4" s="26"/>
      <c r="K4" s="26"/>
      <c r="L4" s="26"/>
    </row>
    <row r="5" spans="1:12" ht="33" customHeight="1" x14ac:dyDescent="0.2">
      <c r="A5" s="49" t="s">
        <v>82</v>
      </c>
      <c r="B5" s="49"/>
      <c r="C5" s="49"/>
      <c r="D5" s="49"/>
      <c r="E5" s="49"/>
      <c r="F5" s="49"/>
      <c r="G5" s="49"/>
      <c r="H5" s="49"/>
      <c r="I5" s="49"/>
      <c r="J5" s="49"/>
      <c r="K5" s="49"/>
      <c r="L5" s="49"/>
    </row>
    <row r="6" spans="1:12" x14ac:dyDescent="0.2">
      <c r="A6" s="26"/>
      <c r="B6" s="26"/>
      <c r="C6" s="26"/>
      <c r="D6" s="26"/>
      <c r="E6" s="26"/>
      <c r="F6" s="26"/>
      <c r="G6" s="26"/>
      <c r="H6" s="26"/>
      <c r="I6" s="26"/>
      <c r="J6" s="26"/>
      <c r="K6" s="26"/>
      <c r="L6" s="26"/>
    </row>
    <row r="7" spans="1:12" ht="48.75" customHeight="1" x14ac:dyDescent="0.25">
      <c r="A7" s="47" t="s">
        <v>96</v>
      </c>
      <c r="B7" s="47"/>
      <c r="C7" s="47"/>
      <c r="D7" s="47"/>
      <c r="E7" s="47"/>
      <c r="F7" s="47"/>
      <c r="G7" s="47"/>
      <c r="H7" s="47"/>
      <c r="I7" s="47"/>
      <c r="J7" s="47"/>
      <c r="K7" s="47"/>
      <c r="L7" s="47"/>
    </row>
    <row r="8" spans="1:12" x14ac:dyDescent="0.2">
      <c r="A8" s="26"/>
      <c r="B8" s="26"/>
      <c r="C8" s="26"/>
      <c r="D8" s="26"/>
      <c r="E8" s="26"/>
      <c r="F8" s="26"/>
      <c r="G8" s="26"/>
      <c r="H8" s="26"/>
      <c r="I8" s="26"/>
      <c r="J8" s="26"/>
      <c r="K8" s="26"/>
      <c r="L8" s="26"/>
    </row>
    <row r="9" spans="1:12" ht="48" customHeight="1" x14ac:dyDescent="0.25">
      <c r="A9" s="47" t="s">
        <v>97</v>
      </c>
      <c r="B9" s="47"/>
      <c r="C9" s="47"/>
      <c r="D9" s="47"/>
      <c r="E9" s="47"/>
      <c r="F9" s="47"/>
      <c r="G9" s="47"/>
      <c r="H9" s="47"/>
      <c r="I9" s="47"/>
      <c r="J9" s="47"/>
      <c r="K9" s="47"/>
      <c r="L9" s="47"/>
    </row>
    <row r="10" spans="1:12" x14ac:dyDescent="0.2">
      <c r="A10" s="26"/>
      <c r="B10" s="26"/>
      <c r="C10" s="26"/>
      <c r="D10" s="26"/>
      <c r="E10" s="26"/>
      <c r="F10" s="26"/>
      <c r="G10" s="26"/>
      <c r="H10" s="26"/>
      <c r="I10" s="26"/>
      <c r="J10" s="26"/>
      <c r="K10" s="26"/>
      <c r="L10" s="26"/>
    </row>
    <row r="11" spans="1:12" s="27" customFormat="1" ht="28.5" customHeight="1" x14ac:dyDescent="0.25">
      <c r="A11" s="47" t="s">
        <v>98</v>
      </c>
      <c r="B11" s="47"/>
      <c r="C11" s="47"/>
      <c r="D11" s="47"/>
      <c r="E11" s="47"/>
      <c r="F11" s="47"/>
      <c r="G11" s="47"/>
      <c r="H11" s="47"/>
      <c r="I11" s="47"/>
      <c r="J11" s="47"/>
      <c r="K11" s="47"/>
      <c r="L11" s="47"/>
    </row>
    <row r="12" spans="1:12" x14ac:dyDescent="0.2">
      <c r="A12" s="26"/>
      <c r="B12" s="26"/>
      <c r="C12" s="26"/>
      <c r="D12" s="26"/>
      <c r="E12" s="26"/>
      <c r="F12" s="26"/>
      <c r="G12" s="26"/>
      <c r="H12" s="26"/>
      <c r="I12" s="26"/>
      <c r="J12" s="26"/>
      <c r="K12" s="26"/>
      <c r="L12" s="26"/>
    </row>
    <row r="13" spans="1:12" ht="31.5" customHeight="1" x14ac:dyDescent="0.25">
      <c r="A13" s="47" t="s">
        <v>99</v>
      </c>
      <c r="B13" s="47"/>
      <c r="C13" s="47"/>
      <c r="D13" s="47"/>
      <c r="E13" s="47"/>
      <c r="F13" s="47"/>
      <c r="G13" s="47"/>
      <c r="H13" s="47"/>
      <c r="I13" s="47"/>
      <c r="J13" s="47"/>
      <c r="K13" s="47"/>
      <c r="L13" s="47"/>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2004-2025</vt:lpstr>
      <vt:lpstr>Notes</vt:lpstr>
      <vt:lpstr>Notes!OLE_LINK3</vt:lpstr>
      <vt:lpstr>'1977-2003'!Print_Area</vt:lpstr>
      <vt:lpstr>'2004-2025'!Print_Area</vt:lpstr>
      <vt:lpstr>'1977-2003'!Print_Titles</vt:lpstr>
      <vt:lpstr>'2004-2025'!Print_Titles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2015-07-23T16:12:39Z</cp:lastPrinted>
  <dcterms:created xsi:type="dcterms:W3CDTF">2001-09-25T19:49:31Z</dcterms:created>
  <dcterms:modified xsi:type="dcterms:W3CDTF">2025-11-06T16:09:57Z</dcterms:modified>
</cp:coreProperties>
</file>