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2 Other Financial Institutions\"/>
    </mc:Choice>
  </mc:AlternateContent>
  <xr:revisionPtr revIDLastSave="0" documentId="13_ncr:1_{B6934EF5-36DA-4CD5-AD01-DED7EBD3E9F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dicator of CU Act" sheetId="1" r:id="rId1"/>
    <sheet name="Notes" sheetId="2" r:id="rId2"/>
  </sheets>
  <definedNames>
    <definedName name="\0">'Indicator of CU Act'!$A$1:$A$1</definedName>
    <definedName name="__123Graph_A" hidden="1">'Indicator of CU Act'!#REF!</definedName>
    <definedName name="__123Graph_B" hidden="1">'Indicator of CU Act'!#REF!</definedName>
    <definedName name="__123Graph_X" hidden="1">'Indicator of CU Act'!#REF!</definedName>
    <definedName name="_Parse_Out" hidden="1">'Indicator of CU Act'!$A$2:$L$2</definedName>
    <definedName name="A">'Indicator of CU Act'!#REF!</definedName>
    <definedName name="B">'Indicator of CU Act'!#REF!</definedName>
    <definedName name="CBBSOA">'Indicator of CU Act'!$A$3:$A$3</definedName>
    <definedName name="CBBSOL">'Indicator of CU Act'!$A$5:$A$5</definedName>
    <definedName name="CBSOFL">'Indicator of CU Act'!#REF!</definedName>
    <definedName name="CONTINUE">'Indicator of CU Act'!#REF!</definedName>
    <definedName name="FAMS">'Indicator of CU Act'!#REF!</definedName>
    <definedName name="FORMAT1">'Indicator of CU Act'!$G$2:$G$5</definedName>
    <definedName name="FORMAT3">'Indicator of CU Act'!#REF!</definedName>
    <definedName name="FORMAT4">'Indicator of CU Act'!$N$2:$N$5</definedName>
    <definedName name="FORMAT5">'Indicator of CU Act'!$X$2:$X$5</definedName>
    <definedName name="FORMAT6">'Indicator of CU Act'!$AH$2:$AH$5</definedName>
    <definedName name="FORMAT7">'Indicator of CU Act'!$AR$2:$AR$5</definedName>
    <definedName name="FORMAT8">'Indicator of CU Act'!$BB$2:$BB$5</definedName>
    <definedName name="LCDBYS">'Indicator of CU Act'!#REF!</definedName>
    <definedName name="MAINMENU">'Indicator of CU Act'!#REF!</definedName>
    <definedName name="PAGE1A">'Indicator of CU Act'!#REF!</definedName>
    <definedName name="PAGE1B">'Indicator of CU Act'!#REF!</definedName>
    <definedName name="PAGE1C">'Indicator of CU Act'!#REF!</definedName>
    <definedName name="PAGE3A">'Indicator of CU Act'!#REF!</definedName>
    <definedName name="PAGE3B">'Indicator of CU Act'!#REF!</definedName>
    <definedName name="PAGE3C">'Indicator of CU Act'!#REF!</definedName>
    <definedName name="PAGE3D">'Indicator of CU Act'!#REF!</definedName>
    <definedName name="PAGE4A">'Indicator of CU Act'!#REF!</definedName>
    <definedName name="PAGE4B">'Indicator of CU Act'!#REF!</definedName>
    <definedName name="PAGE4C">'Indicator of CU Act'!#REF!</definedName>
    <definedName name="PAGE4D">'Indicator of CU Act'!#REF!</definedName>
    <definedName name="PAGE5A">'Indicator of CU Act'!#REF!</definedName>
    <definedName name="PAGE5B">'Indicator of CU Act'!#REF!</definedName>
    <definedName name="PAGE5C">'Indicator of CU Act'!#REF!</definedName>
    <definedName name="PAGE5D">'Indicator of CU Act'!#REF!</definedName>
    <definedName name="PAGE6A">'Indicator of CU Act'!#REF!</definedName>
    <definedName name="PAGE6B">'Indicator of CU Act'!#REF!</definedName>
    <definedName name="PAGE6C">'Indicator of CU Act'!#REF!</definedName>
    <definedName name="PAGE6D">'Indicator of CU Act'!#REF!</definedName>
    <definedName name="PAGE7A">'Indicator of CU Act'!#REF!</definedName>
    <definedName name="PAGE7B">'Indicator of CU Act'!#REF!</definedName>
    <definedName name="PAGE7C">'Indicator of CU Act'!#REF!</definedName>
    <definedName name="PAGE7D">'Indicator of CU Act'!#REF!</definedName>
    <definedName name="PAGE8A">'Indicator of CU Act'!#REF!</definedName>
    <definedName name="PAGE8B">'Indicator of CU Act'!#REF!</definedName>
    <definedName name="PAGE8C">'Indicator of CU Act'!#REF!</definedName>
    <definedName name="PAGE8D">'Indicator of CU Act'!#REF!</definedName>
    <definedName name="_xlnm.Print_Area" localSheetId="0">'Indicator of CU Act'!$33:$83</definedName>
    <definedName name="Print_Area_MI" localSheetId="0">'Indicator of CU Act'!#REF!</definedName>
    <definedName name="_xlnm.Print_Titles" localSheetId="0">'Indicator of CU Act'!$1:$5</definedName>
    <definedName name="QUIT1">'Indicator of CU Act'!#REF!</definedName>
    <definedName name="QUIT3">'Indicator of CU Act'!#REF!</definedName>
    <definedName name="RETURN1">'Indicator of CU Act'!#REF!</definedName>
    <definedName name="SUBT1">'Indicator of CU Act'!#REF!</definedName>
    <definedName name="SUBT3">'Indicator of CU Act'!#REF!</definedName>
    <definedName name="SUBT4">'Indicator of CU Act'!#REF!</definedName>
    <definedName name="SUBT5">'Indicator of CU Act'!#REF!</definedName>
    <definedName name="SUBT6">'Indicator of CU Act'!#REF!</definedName>
    <definedName name="SUBT7">'Indicator of CU Act'!#REF!</definedName>
    <definedName name="SUBT8">'Indicator of CU Act'!#REF!</definedName>
    <definedName name="TABLE1">'Indicator of CU Act'!#REF!</definedName>
    <definedName name="TABLE3">'Indicator of CU Act'!#REF!</definedName>
    <definedName name="TABLE4">'Indicator of CU Act'!#REF!</definedName>
    <definedName name="TABLE5">'Indicator of CU Act'!#REF!</definedName>
    <definedName name="TABLE6">'Indicator of CU Act'!#REF!</definedName>
    <definedName name="TABLE7">'Indicator of CU Act'!#REF!</definedName>
    <definedName name="TABLE8">'Indicator of CU Act'!#REF!</definedName>
    <definedName name="TDBYD">'Indicator of CU Act'!#REF!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E77" i="1" l="1"/>
  <c r="E76" i="1"/>
  <c r="E70" i="1"/>
  <c r="E65" i="1"/>
  <c r="E64" i="1"/>
  <c r="J81" i="1"/>
  <c r="J80" i="1"/>
  <c r="J79" i="1"/>
  <c r="J77" i="1"/>
  <c r="J76" i="1"/>
  <c r="J75" i="1"/>
  <c r="G87" i="1" l="1"/>
  <c r="J87" i="1"/>
  <c r="I87" i="1" l="1"/>
  <c r="H87" i="1"/>
  <c r="F87" i="1"/>
  <c r="D87" i="1"/>
  <c r="C87" i="1"/>
  <c r="E87" i="1" s="1"/>
  <c r="D79" i="1"/>
  <c r="C79" i="1"/>
  <c r="E79" i="1" s="1"/>
  <c r="D80" i="1"/>
  <c r="C80" i="1"/>
  <c r="C81" i="1"/>
  <c r="D81" i="1"/>
  <c r="D82" i="1"/>
  <c r="C82" i="1"/>
  <c r="E82" i="1" s="1"/>
  <c r="E81" i="1" l="1"/>
  <c r="E80" i="1"/>
  <c r="F86" i="1"/>
  <c r="I86" i="1"/>
  <c r="H86" i="1"/>
  <c r="G86" i="1"/>
  <c r="J86" i="1" s="1"/>
  <c r="D86" i="1"/>
  <c r="E86" i="1" s="1"/>
  <c r="D84" i="1"/>
  <c r="C84" i="1"/>
  <c r="C85" i="1"/>
  <c r="D85" i="1"/>
  <c r="F85" i="1"/>
  <c r="I85" i="1"/>
  <c r="H85" i="1"/>
  <c r="G85" i="1"/>
  <c r="J85" i="1" s="1"/>
  <c r="I84" i="1"/>
  <c r="H84" i="1"/>
  <c r="G84" i="1"/>
  <c r="F84" i="1"/>
  <c r="I82" i="1"/>
  <c r="H82" i="1"/>
  <c r="G82" i="1"/>
  <c r="F82" i="1"/>
  <c r="J82" i="1" s="1"/>
  <c r="D75" i="1"/>
  <c r="J84" i="1" l="1"/>
  <c r="E85" i="1"/>
  <c r="E84" i="1"/>
  <c r="C75" i="1"/>
  <c r="E75" i="1" s="1"/>
  <c r="D74" i="1" l="1"/>
  <c r="E74" i="1" s="1"/>
  <c r="I74" i="1"/>
  <c r="H74" i="1"/>
  <c r="G74" i="1"/>
  <c r="F74" i="1"/>
  <c r="J74" i="1" s="1"/>
  <c r="D72" i="1" l="1"/>
  <c r="C72" i="1"/>
  <c r="E72" i="1" s="1"/>
  <c r="F72" i="1"/>
  <c r="I72" i="1"/>
  <c r="H72" i="1"/>
  <c r="G72" i="1"/>
  <c r="J72" i="1" l="1"/>
  <c r="B71" i="1"/>
  <c r="C71" i="1" l="1"/>
  <c r="D71" i="1"/>
  <c r="I71" i="1"/>
  <c r="H71" i="1"/>
  <c r="E71" i="1" l="1"/>
  <c r="G71" i="1"/>
  <c r="F71" i="1"/>
  <c r="J71" i="1" s="1"/>
  <c r="I70" i="1" l="1"/>
  <c r="H70" i="1"/>
  <c r="G70" i="1"/>
  <c r="F70" i="1"/>
  <c r="J70" i="1" s="1"/>
  <c r="I69" i="1" l="1"/>
  <c r="H69" i="1"/>
  <c r="G69" i="1"/>
  <c r="F69" i="1"/>
  <c r="C69" i="1"/>
  <c r="E69" i="1" s="1"/>
  <c r="J69" i="1" l="1"/>
  <c r="B67" i="1"/>
  <c r="I67" i="1" l="1"/>
  <c r="H67" i="1"/>
  <c r="G67" i="1"/>
  <c r="F67" i="1"/>
  <c r="D67" i="1"/>
  <c r="C67" i="1"/>
  <c r="E67" i="1" l="1"/>
  <c r="J67" i="1"/>
  <c r="B66" i="1"/>
  <c r="D66" i="1" l="1"/>
  <c r="C66" i="1"/>
  <c r="I66" i="1"/>
  <c r="H66" i="1"/>
  <c r="G66" i="1"/>
  <c r="J66" i="1" l="1"/>
  <c r="E66" i="1"/>
  <c r="F65" i="1"/>
  <c r="J65" i="1" s="1"/>
  <c r="F64" i="1"/>
  <c r="J64" i="1" s="1"/>
  <c r="J62" i="1" l="1"/>
  <c r="E62" i="1"/>
  <c r="B62" i="1"/>
  <c r="D61" i="1" l="1"/>
  <c r="C61" i="1"/>
  <c r="I61" i="1"/>
  <c r="H61" i="1"/>
  <c r="G61" i="1"/>
  <c r="F61" i="1"/>
  <c r="E61" i="1" l="1"/>
  <c r="J61" i="1"/>
  <c r="I60" i="1"/>
  <c r="H60" i="1"/>
  <c r="G60" i="1"/>
  <c r="F60" i="1"/>
  <c r="J60" i="1" l="1"/>
  <c r="E60" i="1"/>
  <c r="J59" i="1" l="1"/>
  <c r="E59" i="1"/>
  <c r="G57" i="1" l="1"/>
  <c r="G56" i="1"/>
  <c r="G55" i="1"/>
  <c r="G54" i="1"/>
  <c r="J57" i="1" l="1"/>
  <c r="E57" i="1" l="1"/>
  <c r="J56" i="1" l="1"/>
  <c r="E56" i="1" l="1"/>
  <c r="J55" i="1" l="1"/>
  <c r="E55" i="1" l="1"/>
  <c r="J54" i="1" l="1"/>
  <c r="E54" i="1" l="1"/>
  <c r="E52" i="1" l="1"/>
  <c r="J52" i="1" l="1"/>
  <c r="E51" i="1" l="1"/>
  <c r="G50" i="1" l="1"/>
  <c r="J51" i="1" l="1"/>
  <c r="J50" i="1" l="1"/>
  <c r="D50" i="1" l="1"/>
  <c r="C50" i="1"/>
  <c r="E50" i="1" l="1"/>
  <c r="G49" i="1"/>
  <c r="J49" i="1" s="1"/>
  <c r="E49" i="1" l="1"/>
  <c r="E29" i="1" l="1"/>
  <c r="E30" i="1"/>
  <c r="E31" i="1"/>
  <c r="E32" i="1"/>
  <c r="E34" i="1"/>
  <c r="C35" i="1"/>
  <c r="D35" i="1"/>
  <c r="E36" i="1"/>
  <c r="C37" i="1"/>
  <c r="D37" i="1"/>
  <c r="E35" i="1" l="1"/>
  <c r="E37" i="1"/>
  <c r="G44" i="1"/>
  <c r="G45" i="1"/>
  <c r="G46" i="1"/>
  <c r="G47" i="1"/>
  <c r="F47" i="1"/>
  <c r="G40" i="1" l="1"/>
  <c r="G41" i="1"/>
  <c r="G42" i="1"/>
  <c r="G37" i="1" l="1"/>
  <c r="G36" i="1"/>
  <c r="G24" i="1" l="1"/>
  <c r="G21" i="1" l="1"/>
  <c r="G20" i="1"/>
  <c r="D42" i="1" l="1"/>
  <c r="C42" i="1"/>
  <c r="C41" i="1"/>
  <c r="D41" i="1"/>
  <c r="D40" i="1"/>
  <c r="D39" i="1"/>
  <c r="C39" i="1"/>
  <c r="D27" i="1"/>
  <c r="C27" i="1"/>
  <c r="D26" i="1"/>
  <c r="C26" i="1"/>
  <c r="D25" i="1"/>
  <c r="C25" i="1"/>
  <c r="D24" i="1"/>
  <c r="C24" i="1"/>
  <c r="D19" i="1"/>
  <c r="C19" i="1"/>
  <c r="D20" i="1"/>
  <c r="C20" i="1"/>
  <c r="D17" i="1"/>
  <c r="C17" i="1"/>
  <c r="D16" i="1"/>
  <c r="C16" i="1"/>
  <c r="D15" i="1"/>
  <c r="C15" i="1"/>
  <c r="D14" i="1"/>
  <c r="C14" i="1"/>
  <c r="D12" i="1"/>
  <c r="C12" i="1"/>
  <c r="D11" i="1"/>
  <c r="C11" i="1"/>
  <c r="J47" i="1" l="1"/>
  <c r="E47" i="1" l="1"/>
  <c r="E46" i="1" l="1"/>
  <c r="J46" i="1" l="1"/>
  <c r="E45" i="1" l="1"/>
  <c r="J45" i="1" l="1"/>
  <c r="E44" i="1"/>
  <c r="J44" i="1"/>
  <c r="E42" i="1"/>
  <c r="J42" i="1"/>
  <c r="E41" i="1"/>
  <c r="J41" i="1"/>
  <c r="E40" i="1"/>
  <c r="J40" i="1"/>
  <c r="J39" i="1"/>
  <c r="E39" i="1"/>
  <c r="J37" i="1"/>
  <c r="J36" i="1"/>
  <c r="J35" i="1"/>
  <c r="J34" i="1"/>
  <c r="J32" i="1"/>
  <c r="J31" i="1"/>
  <c r="J30" i="1"/>
  <c r="J29" i="1"/>
  <c r="J27" i="1"/>
  <c r="E27" i="1"/>
  <c r="J26" i="1"/>
  <c r="J25" i="1"/>
  <c r="J24" i="1"/>
  <c r="J22" i="1"/>
  <c r="E26" i="1"/>
  <c r="E25" i="1"/>
  <c r="E24" i="1"/>
  <c r="E22" i="1"/>
  <c r="J21" i="1"/>
  <c r="E21" i="1"/>
  <c r="E20" i="1"/>
  <c r="J20" i="1"/>
  <c r="J19" i="1"/>
  <c r="E19" i="1"/>
  <c r="E17" i="1"/>
  <c r="J17" i="1"/>
  <c r="E16" i="1"/>
  <c r="E15" i="1"/>
  <c r="E14" i="1"/>
  <c r="E12" i="1"/>
  <c r="E11" i="1"/>
  <c r="E10" i="1"/>
  <c r="E9" i="1"/>
  <c r="D7" i="1"/>
  <c r="C7" i="1"/>
  <c r="J7" i="1"/>
  <c r="J9" i="1"/>
  <c r="J10" i="1"/>
  <c r="J11" i="1"/>
  <c r="J12" i="1"/>
  <c r="J14" i="1"/>
  <c r="J15" i="1"/>
  <c r="J16" i="1"/>
  <c r="E7" i="1" l="1"/>
</calcChain>
</file>

<file path=xl/sharedStrings.xml><?xml version="1.0" encoding="utf-8"?>
<sst xmlns="http://schemas.openxmlformats.org/spreadsheetml/2006/main" count="93" uniqueCount="24">
  <si>
    <t>End of</t>
  </si>
  <si>
    <t>Period</t>
  </si>
  <si>
    <t xml:space="preserve">      $'000</t>
  </si>
  <si>
    <t>Total</t>
  </si>
  <si>
    <t>Membership</t>
  </si>
  <si>
    <t>(No.)</t>
  </si>
  <si>
    <t>Deposits</t>
  </si>
  <si>
    <t>Income</t>
  </si>
  <si>
    <t>Expenditure</t>
  </si>
  <si>
    <t xml:space="preserve">Net </t>
  </si>
  <si>
    <t>Demand</t>
  </si>
  <si>
    <t>Savings</t>
  </si>
  <si>
    <t>Time</t>
  </si>
  <si>
    <t>n.a.</t>
  </si>
  <si>
    <t>Shares</t>
  </si>
  <si>
    <t>Mar</t>
  </si>
  <si>
    <t>June</t>
  </si>
  <si>
    <t>Sept</t>
  </si>
  <si>
    <t>Dec</t>
  </si>
  <si>
    <t>1. Deposits include non-mandatory share deposits.</t>
  </si>
  <si>
    <t>2. Beginning January 2009, shares are now separated into categories.  The mandatory minimum number of shares required to become a member is reported as share capital.  All other shares are reported as share deposits.</t>
  </si>
  <si>
    <t xml:space="preserve">3. Effective March 2010, figures are reported in accordance with PEARLS. </t>
  </si>
  <si>
    <t>n.a</t>
  </si>
  <si>
    <t>TABLE 23: INDICATORS OF CREDIT UNION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</si>
</sst>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;\(0\)"/>
  </numFmts>
  <fonts count="20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3"/>
      <name val="Courier"/>
      <family val="3"/>
    </font>
    <font>
      <sz val="10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262626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37" fontId="0" fillId="0" borderId="0"/>
    <xf numFmtId="0" fontId="14" fillId="0" borderId="0"/>
    <xf numFmtId="0" fontId="16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9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8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6" fillId="0" borderId="0"/>
  </cellStyleXfs>
  <cellXfs count="37">
    <xf numFmtId="37" fontId="0" fillId="0" borderId="0" xfId="0"/>
    <xf numFmtId="37" fontId="3" fillId="0" borderId="0" xfId="0" applyFont="1"/>
    <xf numFmtId="37" fontId="3" fillId="0" borderId="0" xfId="0" applyFont="1" applyAlignment="1">
      <alignment horizontal="fill"/>
    </xf>
    <xf numFmtId="37" fontId="4" fillId="0" borderId="0" xfId="0" quotePrefix="1" applyFont="1" applyAlignment="1">
      <alignment horizontal="right"/>
    </xf>
    <xf numFmtId="3" fontId="5" fillId="0" borderId="0" xfId="0" applyNumberFormat="1" applyFont="1"/>
    <xf numFmtId="3" fontId="8" fillId="0" borderId="0" xfId="0" applyNumberFormat="1" applyFont="1"/>
    <xf numFmtId="37" fontId="7" fillId="0" borderId="1" xfId="0" applyFont="1" applyBorder="1" applyAlignment="1">
      <alignment horizontal="center"/>
    </xf>
    <xf numFmtId="37" fontId="9" fillId="0" borderId="0" xfId="0" applyFont="1"/>
    <xf numFmtId="37" fontId="6" fillId="0" borderId="0" xfId="0" applyFont="1"/>
    <xf numFmtId="37" fontId="7" fillId="0" borderId="0" xfId="0" applyFont="1" applyAlignment="1">
      <alignment horizontal="center"/>
    </xf>
    <xf numFmtId="37" fontId="7" fillId="0" borderId="2" xfId="0" applyFont="1" applyBorder="1" applyAlignment="1">
      <alignment horizontal="center"/>
    </xf>
    <xf numFmtId="37" fontId="7" fillId="0" borderId="3" xfId="0" applyFont="1" applyBorder="1" applyAlignment="1">
      <alignment horizontal="center"/>
    </xf>
    <xf numFmtId="166" fontId="7" fillId="0" borderId="0" xfId="0" applyNumberFormat="1" applyFont="1" applyAlignment="1">
      <alignment horizontal="left" readingOrder="1"/>
    </xf>
    <xf numFmtId="37" fontId="9" fillId="0" borderId="0" xfId="0" applyFont="1" applyAlignment="1">
      <alignment horizontal="left" readingOrder="1"/>
    </xf>
    <xf numFmtId="0" fontId="10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/>
    </xf>
    <xf numFmtId="37" fontId="12" fillId="0" borderId="0" xfId="0" applyFont="1"/>
    <xf numFmtId="37" fontId="12" fillId="2" borderId="0" xfId="0" applyFont="1" applyFill="1"/>
    <xf numFmtId="37" fontId="12" fillId="2" borderId="0" xfId="0" quotePrefix="1" applyFont="1" applyFill="1" applyAlignment="1">
      <alignment horizontal="left"/>
    </xf>
    <xf numFmtId="37" fontId="12" fillId="2" borderId="0" xfId="0" applyFont="1" applyFill="1" applyAlignment="1">
      <alignment horizontal="left"/>
    </xf>
    <xf numFmtId="37" fontId="7" fillId="0" borderId="2" xfId="0" quotePrefix="1" applyFont="1" applyBorder="1" applyAlignment="1">
      <alignment horizontal="center"/>
    </xf>
    <xf numFmtId="37" fontId="7" fillId="0" borderId="0" xfId="0" quotePrefix="1" applyFont="1" applyAlignment="1">
      <alignment horizontal="right"/>
    </xf>
    <xf numFmtId="37" fontId="9" fillId="0" borderId="0" xfId="0" applyFont="1" applyAlignment="1">
      <alignment horizontal="right"/>
    </xf>
    <xf numFmtId="37" fontId="7" fillId="0" borderId="0" xfId="0" quotePrefix="1" applyFont="1" applyAlignment="1">
      <alignment horizontal="center"/>
    </xf>
    <xf numFmtId="37" fontId="15" fillId="0" borderId="0" xfId="0" applyFont="1"/>
    <xf numFmtId="3" fontId="14" fillId="0" borderId="0" xfId="1" applyNumberFormat="1"/>
    <xf numFmtId="37" fontId="19" fillId="0" borderId="0" xfId="0" applyFont="1"/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7" fillId="0" borderId="6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7" fontId="13" fillId="2" borderId="0" xfId="0" quotePrefix="1" applyFont="1" applyFill="1" applyAlignment="1">
      <alignment horizontal="left" wrapText="1"/>
    </xf>
    <xf numFmtId="37" fontId="11" fillId="2" borderId="0" xfId="0" applyFont="1" applyFill="1" applyAlignment="1">
      <alignment horizontal="center"/>
    </xf>
    <xf numFmtId="37" fontId="12" fillId="2" borderId="0" xfId="0" applyFont="1" applyFill="1" applyAlignment="1">
      <alignment horizontal="center"/>
    </xf>
    <xf numFmtId="37" fontId="12" fillId="2" borderId="0" xfId="0" applyFont="1" applyFill="1" applyAlignment="1">
      <alignment horizontal="left"/>
    </xf>
    <xf numFmtId="37" fontId="12" fillId="2" borderId="0" xfId="0" quotePrefix="1" applyFont="1" applyFill="1" applyAlignment="1">
      <alignment horizontal="left"/>
    </xf>
    <xf numFmtId="37" fontId="12" fillId="2" borderId="0" xfId="0" quotePrefix="1" applyFont="1" applyFill="1" applyAlignment="1">
      <alignment horizontal="left" wrapText="1"/>
    </xf>
  </cellXfs>
  <cellStyles count="20">
    <cellStyle name="Comma 2" xfId="6" xr:uid="{00000000-0005-0000-0000-000000000000}"/>
    <cellStyle name="Comma 2 2" xfId="15" xr:uid="{00000000-0005-0000-0000-000001000000}"/>
    <cellStyle name="Comma 3" xfId="3" xr:uid="{00000000-0005-0000-0000-000002000000}"/>
    <cellStyle name="Comma 4" xfId="13" xr:uid="{00000000-0005-0000-0000-000003000000}"/>
    <cellStyle name="Currency 2" xfId="7" xr:uid="{00000000-0005-0000-0000-000004000000}"/>
    <cellStyle name="Currency 2 2" xfId="16" xr:uid="{00000000-0005-0000-0000-000005000000}"/>
    <cellStyle name="Currency 3" xfId="4" xr:uid="{00000000-0005-0000-0000-000006000000}"/>
    <cellStyle name="Currency 4" xfId="14" xr:uid="{00000000-0005-0000-0000-000007000000}"/>
    <cellStyle name="Normal" xfId="0" builtinId="0"/>
    <cellStyle name="Normal 2" xfId="1" xr:uid="{00000000-0005-0000-0000-000009000000}"/>
    <cellStyle name="Normal 2 2" xfId="8" xr:uid="{00000000-0005-0000-0000-00000A000000}"/>
    <cellStyle name="Normal 2 2 2" xfId="17" xr:uid="{00000000-0005-0000-0000-00000B000000}"/>
    <cellStyle name="Normal 2 3" xfId="5" xr:uid="{00000000-0005-0000-0000-00000C000000}"/>
    <cellStyle name="Normal 3" xfId="10" xr:uid="{00000000-0005-0000-0000-00000D000000}"/>
    <cellStyle name="Normal 3 2" xfId="19" xr:uid="{00000000-0005-0000-0000-00000E000000}"/>
    <cellStyle name="Normal 4" xfId="2" xr:uid="{00000000-0005-0000-0000-00000F000000}"/>
    <cellStyle name="Normal 5" xfId="12" xr:uid="{00000000-0005-0000-0000-000010000000}"/>
    <cellStyle name="Percent 2" xfId="9" xr:uid="{00000000-0005-0000-0000-000011000000}"/>
    <cellStyle name="Percent 2 2" xfId="18" xr:uid="{00000000-0005-0000-0000-000012000000}"/>
    <cellStyle name="Percent 3" xfId="11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M94"/>
  <sheetViews>
    <sheetView showGridLines="0" tabSelected="1" zoomScaleNormal="100" workbookViewId="0">
      <pane xSplit="1" ySplit="5" topLeftCell="B73" activePane="bottomRight" state="frozen"/>
      <selection pane="topRight" activeCell="B1" sqref="B1"/>
      <selection pane="bottomLeft" activeCell="A9" sqref="A9"/>
      <selection pane="bottomRight" activeCell="A3" sqref="A3"/>
    </sheetView>
  </sheetViews>
  <sheetFormatPr defaultColWidth="9.58203125" defaultRowHeight="12.5" x14ac:dyDescent="0.25"/>
  <cols>
    <col min="1" max="10" width="10.58203125" customWidth="1"/>
    <col min="29" max="29" width="1.58203125" customWidth="1"/>
    <col min="31" max="31" width="1.58203125" customWidth="1"/>
    <col min="33" max="33" width="1.58203125" customWidth="1"/>
    <col min="35" max="35" width="1.58203125" customWidth="1"/>
    <col min="37" max="37" width="1.58203125" customWidth="1"/>
    <col min="39" max="39" width="1.58203125" customWidth="1"/>
    <col min="41" max="41" width="1.58203125" customWidth="1"/>
    <col min="43" max="43" width="1.58203125" customWidth="1"/>
    <col min="45" max="45" width="1.58203125" customWidth="1"/>
    <col min="47" max="47" width="1.58203125" customWidth="1"/>
    <col min="49" max="49" width="1.58203125" customWidth="1"/>
    <col min="51" max="51" width="1.58203125" customWidth="1"/>
    <col min="53" max="53" width="1.58203125" customWidth="1"/>
  </cols>
  <sheetData>
    <row r="1" spans="1:13" s="5" customFormat="1" ht="18.75" customHeight="1" x14ac:dyDescent="0.3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4"/>
      <c r="L1" s="4"/>
      <c r="M1" s="4"/>
    </row>
    <row r="2" spans="1:13" ht="10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4.25" customHeight="1" x14ac:dyDescent="0.25">
      <c r="A3" s="2"/>
      <c r="B3" s="2"/>
      <c r="C3" s="2"/>
      <c r="D3" s="2"/>
      <c r="E3" s="2"/>
      <c r="F3" s="2"/>
      <c r="G3" s="2"/>
      <c r="H3" s="2"/>
      <c r="J3" s="3" t="s">
        <v>2</v>
      </c>
      <c r="K3" s="1"/>
    </row>
    <row r="4" spans="1:13" s="8" customFormat="1" ht="13" x14ac:dyDescent="0.3">
      <c r="A4" s="6" t="s">
        <v>0</v>
      </c>
      <c r="B4" s="6" t="s">
        <v>4</v>
      </c>
      <c r="C4" s="6" t="s">
        <v>3</v>
      </c>
      <c r="D4" s="6" t="s">
        <v>3</v>
      </c>
      <c r="E4" s="6" t="s">
        <v>9</v>
      </c>
      <c r="F4" s="27" t="s">
        <v>6</v>
      </c>
      <c r="G4" s="28"/>
      <c r="H4" s="28"/>
      <c r="I4" s="29"/>
      <c r="J4" s="6" t="s">
        <v>3</v>
      </c>
      <c r="K4" s="7"/>
    </row>
    <row r="5" spans="1:13" s="8" customFormat="1" ht="15" customHeight="1" x14ac:dyDescent="0.3">
      <c r="A5" s="10" t="s">
        <v>1</v>
      </c>
      <c r="B5" s="20" t="s">
        <v>5</v>
      </c>
      <c r="C5" s="10" t="s">
        <v>7</v>
      </c>
      <c r="D5" s="10" t="s">
        <v>8</v>
      </c>
      <c r="E5" s="10" t="s">
        <v>7</v>
      </c>
      <c r="F5" s="11" t="s">
        <v>10</v>
      </c>
      <c r="G5" s="11" t="s">
        <v>11</v>
      </c>
      <c r="H5" s="11" t="s">
        <v>12</v>
      </c>
      <c r="I5" s="11" t="s">
        <v>14</v>
      </c>
      <c r="J5" s="10" t="s">
        <v>6</v>
      </c>
      <c r="K5" s="7"/>
    </row>
    <row r="6" spans="1:13" s="8" customFormat="1" ht="14.25" customHeight="1" x14ac:dyDescent="0.3">
      <c r="A6" s="12">
        <v>2008</v>
      </c>
      <c r="B6" s="21"/>
      <c r="C6" s="9"/>
      <c r="D6" s="9"/>
      <c r="E6" s="9"/>
      <c r="F6" s="9"/>
      <c r="G6" s="9"/>
      <c r="H6" s="9"/>
      <c r="I6" s="9"/>
      <c r="J6" s="9"/>
      <c r="K6" s="7"/>
    </row>
    <row r="7" spans="1:13" s="8" customFormat="1" ht="12.75" customHeight="1" x14ac:dyDescent="0.25">
      <c r="A7" s="13" t="s">
        <v>18</v>
      </c>
      <c r="B7" s="22" t="s">
        <v>13</v>
      </c>
      <c r="C7" s="7">
        <f>19527+71</f>
        <v>19598</v>
      </c>
      <c r="D7" s="7">
        <f>1724+1669</f>
        <v>3393</v>
      </c>
      <c r="E7" s="7">
        <f>C7-D7</f>
        <v>16205</v>
      </c>
      <c r="F7" s="7">
        <v>7756</v>
      </c>
      <c r="G7" s="7">
        <v>201407</v>
      </c>
      <c r="H7" s="7">
        <v>63432</v>
      </c>
      <c r="I7" s="22" t="s">
        <v>22</v>
      </c>
      <c r="J7" s="7">
        <f>SUM(F7:I7)</f>
        <v>272595</v>
      </c>
      <c r="K7" s="7"/>
    </row>
    <row r="8" spans="1:13" s="8" customFormat="1" ht="12.75" customHeight="1" x14ac:dyDescent="0.3">
      <c r="A8" s="12">
        <v>2009</v>
      </c>
      <c r="B8" s="23"/>
      <c r="C8" s="7"/>
      <c r="D8" s="7"/>
      <c r="E8" s="7"/>
      <c r="F8" s="7"/>
      <c r="G8" s="7"/>
      <c r="H8" s="7"/>
      <c r="I8" s="7"/>
      <c r="J8" s="7"/>
      <c r="K8" s="7"/>
    </row>
    <row r="9" spans="1:13" s="8" customFormat="1" ht="12.75" customHeight="1" x14ac:dyDescent="0.25">
      <c r="A9" s="13" t="s">
        <v>15</v>
      </c>
      <c r="B9" s="7">
        <v>97462</v>
      </c>
      <c r="C9" s="7">
        <v>13190</v>
      </c>
      <c r="D9" s="7">
        <v>4211</v>
      </c>
      <c r="E9" s="7">
        <f>C9-D9</f>
        <v>8979</v>
      </c>
      <c r="F9" s="7">
        <v>3332</v>
      </c>
      <c r="G9" s="7">
        <v>23320</v>
      </c>
      <c r="H9" s="7">
        <v>63252</v>
      </c>
      <c r="I9" s="7">
        <v>252132</v>
      </c>
      <c r="J9" s="7">
        <f t="shared" ref="J9:J16" si="0">SUM(F9:I9)</f>
        <v>342036</v>
      </c>
      <c r="K9" s="7"/>
    </row>
    <row r="10" spans="1:13" s="8" customFormat="1" ht="12.75" customHeight="1" x14ac:dyDescent="0.25">
      <c r="A10" s="13" t="s">
        <v>16</v>
      </c>
      <c r="B10" s="7">
        <v>97864</v>
      </c>
      <c r="C10" s="7">
        <v>11397</v>
      </c>
      <c r="D10" s="7">
        <v>3994</v>
      </c>
      <c r="E10" s="7">
        <f>C10-D10</f>
        <v>7403</v>
      </c>
      <c r="F10" s="7">
        <v>3559</v>
      </c>
      <c r="G10" s="7">
        <v>25335</v>
      </c>
      <c r="H10" s="7">
        <v>67533</v>
      </c>
      <c r="I10" s="7">
        <v>267901</v>
      </c>
      <c r="J10" s="7">
        <f t="shared" si="0"/>
        <v>364328</v>
      </c>
      <c r="K10" s="7"/>
    </row>
    <row r="11" spans="1:13" s="8" customFormat="1" ht="12.75" customHeight="1" x14ac:dyDescent="0.25">
      <c r="A11" s="13" t="s">
        <v>17</v>
      </c>
      <c r="B11" s="7">
        <v>99551</v>
      </c>
      <c r="C11" s="7">
        <f>11279+170-94</f>
        <v>11355</v>
      </c>
      <c r="D11" s="7">
        <f>1982+2127</f>
        <v>4109</v>
      </c>
      <c r="E11" s="7">
        <f>C11-D11</f>
        <v>7246</v>
      </c>
      <c r="F11" s="7">
        <v>3893</v>
      </c>
      <c r="G11" s="7">
        <v>26579</v>
      </c>
      <c r="H11" s="7">
        <v>70136</v>
      </c>
      <c r="I11" s="7">
        <v>268803</v>
      </c>
      <c r="J11" s="7">
        <f t="shared" si="0"/>
        <v>369411</v>
      </c>
      <c r="K11" s="7"/>
    </row>
    <row r="12" spans="1:13" s="8" customFormat="1" ht="12.75" customHeight="1" x14ac:dyDescent="0.25">
      <c r="A12" s="13" t="s">
        <v>18</v>
      </c>
      <c r="B12" s="7">
        <v>100393</v>
      </c>
      <c r="C12" s="7">
        <f>12527+193</f>
        <v>12720</v>
      </c>
      <c r="D12" s="7">
        <f>1993+2642</f>
        <v>4635</v>
      </c>
      <c r="E12" s="7">
        <f>C12-D12</f>
        <v>8085</v>
      </c>
      <c r="F12" s="7">
        <v>3783</v>
      </c>
      <c r="G12" s="7">
        <v>26180</v>
      </c>
      <c r="H12" s="7">
        <v>72122</v>
      </c>
      <c r="I12" s="7">
        <v>270380</v>
      </c>
      <c r="J12" s="7">
        <f t="shared" si="0"/>
        <v>372465</v>
      </c>
      <c r="K12" s="7"/>
    </row>
    <row r="13" spans="1:13" s="8" customFormat="1" ht="12.75" customHeight="1" x14ac:dyDescent="0.3">
      <c r="A13" s="12">
        <v>2010</v>
      </c>
      <c r="B13" s="7"/>
      <c r="C13" s="7"/>
      <c r="D13" s="7"/>
      <c r="E13" s="7"/>
      <c r="F13" s="7"/>
      <c r="G13" s="7"/>
      <c r="H13" s="7"/>
      <c r="I13" s="7"/>
      <c r="J13" s="7"/>
    </row>
    <row r="14" spans="1:13" s="8" customFormat="1" ht="12.75" customHeight="1" x14ac:dyDescent="0.25">
      <c r="A14" s="13" t="s">
        <v>15</v>
      </c>
      <c r="B14" s="7">
        <v>103530</v>
      </c>
      <c r="C14" s="7">
        <f>14035+220+34</f>
        <v>14289</v>
      </c>
      <c r="D14" s="7">
        <f>2044+2764</f>
        <v>4808</v>
      </c>
      <c r="E14" s="7">
        <f>C14-D14</f>
        <v>9481</v>
      </c>
      <c r="F14" s="7">
        <v>3901</v>
      </c>
      <c r="G14" s="7">
        <v>27211</v>
      </c>
      <c r="H14" s="7">
        <v>74679</v>
      </c>
      <c r="I14" s="7">
        <v>275506</v>
      </c>
      <c r="J14" s="7">
        <f t="shared" si="0"/>
        <v>381297</v>
      </c>
    </row>
    <row r="15" spans="1:13" s="8" customFormat="1" ht="12.75" customHeight="1" x14ac:dyDescent="0.25">
      <c r="A15" s="13" t="s">
        <v>16</v>
      </c>
      <c r="B15" s="7">
        <v>103725</v>
      </c>
      <c r="C15" s="7">
        <f>12055+164</f>
        <v>12219</v>
      </c>
      <c r="D15" s="7">
        <f>2106+2419</f>
        <v>4525</v>
      </c>
      <c r="E15" s="7">
        <f>C15-D15</f>
        <v>7694</v>
      </c>
      <c r="F15" s="7">
        <v>4013</v>
      </c>
      <c r="G15" s="7">
        <v>28397</v>
      </c>
      <c r="H15" s="7">
        <v>77199</v>
      </c>
      <c r="I15" s="7">
        <v>296509</v>
      </c>
      <c r="J15" s="7">
        <f t="shared" si="0"/>
        <v>406118</v>
      </c>
    </row>
    <row r="16" spans="1:13" s="8" customFormat="1" ht="12.75" customHeight="1" x14ac:dyDescent="0.25">
      <c r="A16" s="13" t="s">
        <v>17</v>
      </c>
      <c r="B16" s="7">
        <v>104338</v>
      </c>
      <c r="C16" s="7">
        <f>12793+247</f>
        <v>13040</v>
      </c>
      <c r="D16" s="7">
        <f>2194+2095</f>
        <v>4289</v>
      </c>
      <c r="E16" s="7">
        <f>C16-D16</f>
        <v>8751</v>
      </c>
      <c r="F16" s="7">
        <v>4813</v>
      </c>
      <c r="G16" s="7">
        <v>28459</v>
      </c>
      <c r="H16" s="7">
        <v>77629</v>
      </c>
      <c r="I16" s="7">
        <v>292619</v>
      </c>
      <c r="J16" s="7">
        <f t="shared" si="0"/>
        <v>403520</v>
      </c>
    </row>
    <row r="17" spans="1:10" s="8" customFormat="1" ht="12.75" customHeight="1" x14ac:dyDescent="0.25">
      <c r="A17" s="13" t="s">
        <v>18</v>
      </c>
      <c r="B17" s="7">
        <v>105882</v>
      </c>
      <c r="C17" s="7">
        <f>12576+197+3</f>
        <v>12776</v>
      </c>
      <c r="D17" s="7">
        <f>2327+2380</f>
        <v>4707</v>
      </c>
      <c r="E17" s="7">
        <f>C17-D17</f>
        <v>8069</v>
      </c>
      <c r="F17" s="7">
        <v>4421</v>
      </c>
      <c r="G17" s="7">
        <v>28696</v>
      </c>
      <c r="H17" s="7">
        <v>78761</v>
      </c>
      <c r="I17" s="7">
        <v>296324</v>
      </c>
      <c r="J17" s="7">
        <f>SUM(F17:I17)</f>
        <v>408202</v>
      </c>
    </row>
    <row r="18" spans="1:10" s="8" customFormat="1" ht="12.75" customHeight="1" x14ac:dyDescent="0.3">
      <c r="A18" s="12">
        <v>2011</v>
      </c>
      <c r="B18" s="7"/>
      <c r="C18" s="7"/>
      <c r="D18" s="7"/>
      <c r="E18" s="7"/>
      <c r="F18" s="7"/>
      <c r="G18" s="7"/>
      <c r="H18" s="7"/>
      <c r="I18" s="7"/>
      <c r="J18" s="7"/>
    </row>
    <row r="19" spans="1:10" s="8" customFormat="1" ht="12.75" customHeight="1" x14ac:dyDescent="0.25">
      <c r="A19" s="13" t="s">
        <v>15</v>
      </c>
      <c r="B19" s="7">
        <v>107403</v>
      </c>
      <c r="C19" s="7">
        <f>14862+283+88</f>
        <v>15233</v>
      </c>
      <c r="D19" s="7">
        <f>2109+2916</f>
        <v>5025</v>
      </c>
      <c r="E19" s="7">
        <f>C19-D19</f>
        <v>10208</v>
      </c>
      <c r="F19" s="7">
        <v>4679</v>
      </c>
      <c r="G19" s="7">
        <v>29223</v>
      </c>
      <c r="H19" s="7">
        <v>77420</v>
      </c>
      <c r="I19" s="7">
        <v>301856</v>
      </c>
      <c r="J19" s="7">
        <f>SUM(F19:I19)</f>
        <v>413178</v>
      </c>
    </row>
    <row r="20" spans="1:10" s="8" customFormat="1" ht="12.75" customHeight="1" x14ac:dyDescent="0.25">
      <c r="A20" s="13" t="s">
        <v>16</v>
      </c>
      <c r="B20" s="7">
        <v>108832</v>
      </c>
      <c r="C20" s="7">
        <f>12039+227+8</f>
        <v>12274</v>
      </c>
      <c r="D20" s="7">
        <f>2136+2545</f>
        <v>4681</v>
      </c>
      <c r="E20" s="7">
        <f>C20-D20</f>
        <v>7593</v>
      </c>
      <c r="F20" s="7">
        <v>4960</v>
      </c>
      <c r="G20" s="7">
        <f>22489+9005</f>
        <v>31494</v>
      </c>
      <c r="H20" s="7">
        <v>77671</v>
      </c>
      <c r="I20" s="7">
        <v>325466</v>
      </c>
      <c r="J20" s="7">
        <f>SUM(F20:I20)</f>
        <v>439591</v>
      </c>
    </row>
    <row r="21" spans="1:10" s="8" customFormat="1" ht="12.75" customHeight="1" x14ac:dyDescent="0.25">
      <c r="A21" s="13" t="s">
        <v>17</v>
      </c>
      <c r="B21" s="7">
        <v>110898</v>
      </c>
      <c r="C21" s="7">
        <v>13243</v>
      </c>
      <c r="D21" s="7">
        <v>4458</v>
      </c>
      <c r="E21" s="7">
        <f>C21-D21</f>
        <v>8785</v>
      </c>
      <c r="F21" s="7">
        <v>5789</v>
      </c>
      <c r="G21" s="7">
        <f>23084+9328</f>
        <v>32412</v>
      </c>
      <c r="H21" s="7">
        <v>78341</v>
      </c>
      <c r="I21" s="7">
        <v>327408</v>
      </c>
      <c r="J21" s="7">
        <f>SUM(F21:I21)</f>
        <v>443950</v>
      </c>
    </row>
    <row r="22" spans="1:10" s="8" customFormat="1" ht="12.75" customHeight="1" x14ac:dyDescent="0.25">
      <c r="A22" s="13" t="s">
        <v>18</v>
      </c>
      <c r="B22" s="7">
        <v>112729</v>
      </c>
      <c r="C22" s="7">
        <v>13785</v>
      </c>
      <c r="D22" s="7">
        <v>4655</v>
      </c>
      <c r="E22" s="7">
        <f>C22-D22</f>
        <v>9130</v>
      </c>
      <c r="F22" s="7">
        <v>5042</v>
      </c>
      <c r="G22" s="7">
        <v>32967</v>
      </c>
      <c r="H22" s="7">
        <v>81524</v>
      </c>
      <c r="I22" s="7">
        <v>332379</v>
      </c>
      <c r="J22" s="7">
        <f>SUM(F22:I22)</f>
        <v>451912</v>
      </c>
    </row>
    <row r="23" spans="1:10" s="8" customFormat="1" ht="12.75" customHeight="1" x14ac:dyDescent="0.3">
      <c r="A23" s="12">
        <v>2012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12.75" customHeight="1" x14ac:dyDescent="0.25">
      <c r="A24" s="13" t="s">
        <v>15</v>
      </c>
      <c r="B24" s="7">
        <v>108749</v>
      </c>
      <c r="C24" s="7">
        <f>15143+312+3</f>
        <v>15458</v>
      </c>
      <c r="D24" s="7">
        <f>2003+2904</f>
        <v>4907</v>
      </c>
      <c r="E24" s="7">
        <f>C24-D24</f>
        <v>10551</v>
      </c>
      <c r="F24" s="7">
        <v>5434</v>
      </c>
      <c r="G24" s="7">
        <f>24469+11184</f>
        <v>35653</v>
      </c>
      <c r="H24" s="7">
        <v>81495</v>
      </c>
      <c r="I24" s="7">
        <v>341112</v>
      </c>
      <c r="J24" s="7">
        <f>SUM(F24:I24)</f>
        <v>463694</v>
      </c>
    </row>
    <row r="25" spans="1:10" s="8" customFormat="1" ht="12.75" customHeight="1" x14ac:dyDescent="0.25">
      <c r="A25" s="13" t="s">
        <v>16</v>
      </c>
      <c r="B25" s="7">
        <v>108832</v>
      </c>
      <c r="C25" s="7">
        <f>12988+209+0</f>
        <v>13197</v>
      </c>
      <c r="D25" s="7">
        <f>2140+2759</f>
        <v>4899</v>
      </c>
      <c r="E25" s="7">
        <f>C25-D25</f>
        <v>8298</v>
      </c>
      <c r="F25" s="7">
        <v>6371</v>
      </c>
      <c r="G25" s="7">
        <v>37844</v>
      </c>
      <c r="H25" s="7">
        <v>81793</v>
      </c>
      <c r="I25" s="7">
        <v>365817</v>
      </c>
      <c r="J25" s="7">
        <f>SUM(F25:I25)</f>
        <v>491825</v>
      </c>
    </row>
    <row r="26" spans="1:10" s="8" customFormat="1" ht="12.75" customHeight="1" x14ac:dyDescent="0.25">
      <c r="A26" s="13" t="s">
        <v>17</v>
      </c>
      <c r="B26" s="7">
        <v>111842</v>
      </c>
      <c r="C26" s="7">
        <f>12834+254</f>
        <v>13088</v>
      </c>
      <c r="D26" s="7">
        <f>2224+2389</f>
        <v>4613</v>
      </c>
      <c r="E26" s="7">
        <f>C26-D26</f>
        <v>8475</v>
      </c>
      <c r="F26" s="7">
        <v>7090</v>
      </c>
      <c r="G26" s="7">
        <v>39580</v>
      </c>
      <c r="H26" s="7">
        <v>81360</v>
      </c>
      <c r="I26" s="7">
        <v>370230</v>
      </c>
      <c r="J26" s="7">
        <f>SUM(F26:I26)</f>
        <v>498260</v>
      </c>
    </row>
    <row r="27" spans="1:10" s="8" customFormat="1" ht="12.75" customHeight="1" x14ac:dyDescent="0.25">
      <c r="A27" s="13" t="s">
        <v>18</v>
      </c>
      <c r="B27" s="7">
        <v>114190</v>
      </c>
      <c r="C27" s="7">
        <f>13697+264</f>
        <v>13961</v>
      </c>
      <c r="D27" s="7">
        <f>2159+2776</f>
        <v>4935</v>
      </c>
      <c r="E27" s="7">
        <f>C27-D27</f>
        <v>9026</v>
      </c>
      <c r="F27" s="7">
        <v>8822</v>
      </c>
      <c r="G27" s="7">
        <v>37794</v>
      </c>
      <c r="H27" s="7">
        <v>81141</v>
      </c>
      <c r="I27" s="7">
        <v>373664</v>
      </c>
      <c r="J27" s="7">
        <f>SUM(F27:I27)</f>
        <v>501421</v>
      </c>
    </row>
    <row r="28" spans="1:10" s="8" customFormat="1" ht="12.75" customHeight="1" x14ac:dyDescent="0.3">
      <c r="A28" s="12">
        <v>2013</v>
      </c>
      <c r="B28" s="7"/>
      <c r="C28" s="7"/>
      <c r="D28" s="7"/>
      <c r="E28" s="7"/>
      <c r="F28" s="7"/>
      <c r="G28" s="7"/>
      <c r="H28" s="7"/>
      <c r="I28" s="7"/>
      <c r="J28" s="7"/>
    </row>
    <row r="29" spans="1:10" s="8" customFormat="1" ht="12.75" customHeight="1" x14ac:dyDescent="0.25">
      <c r="A29" s="13" t="s">
        <v>15</v>
      </c>
      <c r="B29" s="7">
        <v>116017</v>
      </c>
      <c r="C29" s="7">
        <v>14615</v>
      </c>
      <c r="D29" s="7">
        <v>5381</v>
      </c>
      <c r="E29" s="7">
        <f>C29-D29</f>
        <v>9234</v>
      </c>
      <c r="F29" s="7">
        <v>8989</v>
      </c>
      <c r="G29" s="7">
        <v>40109</v>
      </c>
      <c r="H29" s="7">
        <v>82449</v>
      </c>
      <c r="I29" s="7">
        <v>382556</v>
      </c>
      <c r="J29" s="7">
        <f>SUM(F29:I29)</f>
        <v>514103</v>
      </c>
    </row>
    <row r="30" spans="1:10" s="8" customFormat="1" ht="12.75" customHeight="1" x14ac:dyDescent="0.25">
      <c r="A30" s="13" t="s">
        <v>16</v>
      </c>
      <c r="B30" s="7">
        <v>117106</v>
      </c>
      <c r="C30" s="7">
        <v>14099</v>
      </c>
      <c r="D30" s="7">
        <v>4353</v>
      </c>
      <c r="E30" s="7">
        <f>C30-D30</f>
        <v>9746</v>
      </c>
      <c r="F30" s="7">
        <v>11789</v>
      </c>
      <c r="G30" s="7">
        <v>42505</v>
      </c>
      <c r="H30" s="7">
        <v>81927</v>
      </c>
      <c r="I30" s="7">
        <v>407545</v>
      </c>
      <c r="J30" s="7">
        <f>SUM(F30:I30)</f>
        <v>543766</v>
      </c>
    </row>
    <row r="31" spans="1:10" s="8" customFormat="1" ht="12.75" customHeight="1" x14ac:dyDescent="0.25">
      <c r="A31" s="13" t="s">
        <v>17</v>
      </c>
      <c r="B31" s="7">
        <v>121209</v>
      </c>
      <c r="C31" s="7">
        <v>13345</v>
      </c>
      <c r="D31" s="7">
        <v>4450</v>
      </c>
      <c r="E31" s="7">
        <f>C31-D31</f>
        <v>8895</v>
      </c>
      <c r="F31" s="7">
        <v>10380</v>
      </c>
      <c r="G31" s="7">
        <v>42055</v>
      </c>
      <c r="H31" s="7">
        <v>83368</v>
      </c>
      <c r="I31" s="7">
        <v>407885</v>
      </c>
      <c r="J31" s="7">
        <f>SUM(F31:I31)</f>
        <v>543688</v>
      </c>
    </row>
    <row r="32" spans="1:10" s="8" customFormat="1" ht="12.75" customHeight="1" x14ac:dyDescent="0.25">
      <c r="A32" s="13" t="s">
        <v>18</v>
      </c>
      <c r="B32" s="7">
        <v>122855</v>
      </c>
      <c r="C32" s="7">
        <v>14857</v>
      </c>
      <c r="D32" s="7">
        <v>4872</v>
      </c>
      <c r="E32" s="7">
        <f>C32-D32</f>
        <v>9985</v>
      </c>
      <c r="F32" s="7">
        <v>10075</v>
      </c>
      <c r="G32" s="7">
        <v>43465</v>
      </c>
      <c r="H32" s="7">
        <v>84693</v>
      </c>
      <c r="I32" s="7">
        <v>411310</v>
      </c>
      <c r="J32" s="7">
        <f>SUM(F32:I32)</f>
        <v>549543</v>
      </c>
    </row>
    <row r="33" spans="1:10" s="8" customFormat="1" ht="12.75" customHeight="1" x14ac:dyDescent="0.3">
      <c r="A33" s="15">
        <v>2014</v>
      </c>
      <c r="B33" s="7"/>
      <c r="C33" s="7"/>
      <c r="D33" s="7"/>
      <c r="E33" s="7"/>
      <c r="F33" s="7"/>
      <c r="G33" s="7"/>
      <c r="H33" s="7"/>
      <c r="I33" s="7"/>
      <c r="J33" s="7"/>
    </row>
    <row r="34" spans="1:10" s="8" customFormat="1" ht="12.75" customHeight="1" x14ac:dyDescent="0.25">
      <c r="A34" s="13" t="s">
        <v>15</v>
      </c>
      <c r="B34" s="24">
        <v>127010</v>
      </c>
      <c r="C34" s="7">
        <v>15893</v>
      </c>
      <c r="D34" s="7">
        <v>4698</v>
      </c>
      <c r="E34" s="7">
        <f>C34-D34</f>
        <v>11195</v>
      </c>
      <c r="F34" s="7">
        <v>9854</v>
      </c>
      <c r="G34" s="7">
        <v>45085</v>
      </c>
      <c r="H34" s="7">
        <v>90892</v>
      </c>
      <c r="I34" s="7">
        <v>412382</v>
      </c>
      <c r="J34" s="7">
        <f>SUM(F34:I34)</f>
        <v>558213</v>
      </c>
    </row>
    <row r="35" spans="1:10" s="8" customFormat="1" ht="12.75" customHeight="1" x14ac:dyDescent="0.25">
      <c r="A35" s="13" t="s">
        <v>16</v>
      </c>
      <c r="B35" s="24">
        <v>125190</v>
      </c>
      <c r="C35" s="7">
        <f>16359+127</f>
        <v>16486</v>
      </c>
      <c r="D35" s="7">
        <f>2066+4049</f>
        <v>6115</v>
      </c>
      <c r="E35" s="7">
        <f>C35-D35</f>
        <v>10371</v>
      </c>
      <c r="F35" s="7">
        <v>11356</v>
      </c>
      <c r="G35" s="7">
        <v>48433</v>
      </c>
      <c r="H35" s="7">
        <v>92053</v>
      </c>
      <c r="I35" s="7">
        <v>435445</v>
      </c>
      <c r="J35" s="7">
        <f>SUM(F35:I35)</f>
        <v>587287</v>
      </c>
    </row>
    <row r="36" spans="1:10" s="8" customFormat="1" ht="12.75" customHeight="1" x14ac:dyDescent="0.25">
      <c r="A36" s="13" t="s">
        <v>17</v>
      </c>
      <c r="B36" s="24">
        <v>126502</v>
      </c>
      <c r="C36" s="7">
        <v>14702</v>
      </c>
      <c r="D36" s="7">
        <v>4892</v>
      </c>
      <c r="E36" s="7">
        <f>C36-D36</f>
        <v>9810</v>
      </c>
      <c r="F36" s="7">
        <v>12067</v>
      </c>
      <c r="G36" s="7">
        <f>43117+7377</f>
        <v>50494</v>
      </c>
      <c r="H36" s="7">
        <v>91483</v>
      </c>
      <c r="I36" s="7">
        <v>439468</v>
      </c>
      <c r="J36" s="7">
        <f>SUM(F36:I36)</f>
        <v>593512</v>
      </c>
    </row>
    <row r="37" spans="1:10" s="8" customFormat="1" ht="12.75" customHeight="1" x14ac:dyDescent="0.25">
      <c r="A37" s="13" t="s">
        <v>18</v>
      </c>
      <c r="B37" s="24">
        <v>128461</v>
      </c>
      <c r="C37" s="7">
        <f>16026+206</f>
        <v>16232</v>
      </c>
      <c r="D37" s="7">
        <f>2451+4463</f>
        <v>6914</v>
      </c>
      <c r="E37" s="7">
        <f>C37-D37</f>
        <v>9318</v>
      </c>
      <c r="F37" s="7">
        <v>11994</v>
      </c>
      <c r="G37" s="7">
        <f>44955+6919</f>
        <v>51874</v>
      </c>
      <c r="H37" s="7">
        <v>91026</v>
      </c>
      <c r="I37" s="7">
        <v>442226</v>
      </c>
      <c r="J37" s="7">
        <f>SUM(F37:I37)</f>
        <v>597120</v>
      </c>
    </row>
    <row r="38" spans="1:10" s="8" customFormat="1" ht="12.75" customHeight="1" x14ac:dyDescent="0.3">
      <c r="A38" s="15">
        <v>2015</v>
      </c>
      <c r="B38" s="7"/>
      <c r="C38" s="7"/>
      <c r="D38" s="7"/>
      <c r="E38" s="7"/>
      <c r="F38" s="7"/>
      <c r="G38" s="7"/>
      <c r="H38" s="7"/>
      <c r="I38" s="7"/>
      <c r="J38" s="7"/>
    </row>
    <row r="39" spans="1:10" s="8" customFormat="1" ht="12.75" customHeight="1" x14ac:dyDescent="0.25">
      <c r="A39" s="13" t="s">
        <v>15</v>
      </c>
      <c r="B39" s="24">
        <v>148388</v>
      </c>
      <c r="C39" s="7">
        <f>16669+521</f>
        <v>17190</v>
      </c>
      <c r="D39" s="7">
        <f>1959+4102</f>
        <v>6061</v>
      </c>
      <c r="E39" s="7">
        <f>C39-D39</f>
        <v>11129</v>
      </c>
      <c r="F39" s="7">
        <v>12093</v>
      </c>
      <c r="G39" s="7">
        <v>54373</v>
      </c>
      <c r="H39" s="7">
        <v>90578</v>
      </c>
      <c r="I39" s="7">
        <v>450883</v>
      </c>
      <c r="J39" s="7">
        <f>SUM(F39:I39)</f>
        <v>607927</v>
      </c>
    </row>
    <row r="40" spans="1:10" s="8" customFormat="1" ht="12.75" customHeight="1" x14ac:dyDescent="0.35">
      <c r="A40" s="13" t="s">
        <v>16</v>
      </c>
      <c r="B40" s="24">
        <v>134386</v>
      </c>
      <c r="C40" s="7">
        <v>16814</v>
      </c>
      <c r="D40" s="25">
        <f>2052+5312</f>
        <v>7364</v>
      </c>
      <c r="E40" s="7">
        <f>C40-D40</f>
        <v>9450</v>
      </c>
      <c r="F40" s="7">
        <v>13398</v>
      </c>
      <c r="G40" s="7">
        <f>48651+8584</f>
        <v>57235</v>
      </c>
      <c r="H40" s="7">
        <v>91113</v>
      </c>
      <c r="I40" s="7">
        <v>477149</v>
      </c>
      <c r="J40" s="7">
        <f>SUM(F40:I40)</f>
        <v>638895</v>
      </c>
    </row>
    <row r="41" spans="1:10" s="8" customFormat="1" ht="12.75" customHeight="1" x14ac:dyDescent="0.25">
      <c r="A41" s="13" t="s">
        <v>17</v>
      </c>
      <c r="B41" s="7">
        <v>152171</v>
      </c>
      <c r="C41" s="7">
        <f>16309+214</f>
        <v>16523</v>
      </c>
      <c r="D41" s="7">
        <f>2022+4949</f>
        <v>6971</v>
      </c>
      <c r="E41" s="7">
        <f>C41-D41</f>
        <v>9552</v>
      </c>
      <c r="F41" s="7">
        <v>15581</v>
      </c>
      <c r="G41" s="7">
        <f>49215+8686</f>
        <v>57901</v>
      </c>
      <c r="H41" s="7">
        <v>90500</v>
      </c>
      <c r="I41" s="7">
        <v>481855</v>
      </c>
      <c r="J41" s="7">
        <f>SUM(F41:I41)</f>
        <v>645837</v>
      </c>
    </row>
    <row r="42" spans="1:10" s="8" customFormat="1" ht="12.75" customHeight="1" x14ac:dyDescent="0.25">
      <c r="A42" s="13" t="s">
        <v>18</v>
      </c>
      <c r="B42" s="7">
        <v>154411</v>
      </c>
      <c r="C42" s="7">
        <f>16416+244</f>
        <v>16660</v>
      </c>
      <c r="D42" s="7">
        <f>2277+7950</f>
        <v>10227</v>
      </c>
      <c r="E42" s="7">
        <f>C42-D42</f>
        <v>6433</v>
      </c>
      <c r="F42" s="7">
        <v>14581</v>
      </c>
      <c r="G42" s="7">
        <f>49128+8119</f>
        <v>57247</v>
      </c>
      <c r="H42" s="7">
        <v>90808</v>
      </c>
      <c r="I42" s="7">
        <v>487890</v>
      </c>
      <c r="J42" s="7">
        <f>SUM(F42:I42)</f>
        <v>650526</v>
      </c>
    </row>
    <row r="43" spans="1:10" s="8" customFormat="1" ht="12.75" customHeight="1" x14ac:dyDescent="0.3">
      <c r="A43" s="15">
        <v>2016</v>
      </c>
      <c r="B43" s="7"/>
      <c r="C43" s="7"/>
      <c r="D43" s="7"/>
      <c r="E43" s="7"/>
      <c r="F43" s="7"/>
      <c r="G43" s="7"/>
      <c r="H43" s="7"/>
      <c r="I43" s="7"/>
      <c r="J43" s="7"/>
    </row>
    <row r="44" spans="1:10" s="8" customFormat="1" ht="12.75" customHeight="1" x14ac:dyDescent="0.25">
      <c r="A44" s="13" t="s">
        <v>15</v>
      </c>
      <c r="B44" s="7">
        <v>153354</v>
      </c>
      <c r="C44" s="7">
        <v>18111</v>
      </c>
      <c r="D44" s="7">
        <v>4785</v>
      </c>
      <c r="E44" s="7">
        <f>C44-D44</f>
        <v>13326</v>
      </c>
      <c r="F44" s="7">
        <v>15627</v>
      </c>
      <c r="G44" s="7">
        <f>49552+7546</f>
        <v>57098</v>
      </c>
      <c r="H44" s="7">
        <v>89797</v>
      </c>
      <c r="I44" s="7">
        <v>497199</v>
      </c>
      <c r="J44" s="7">
        <f>SUM(F44:I44)</f>
        <v>659721</v>
      </c>
    </row>
    <row r="45" spans="1:10" s="8" customFormat="1" ht="12.75" customHeight="1" x14ac:dyDescent="0.25">
      <c r="A45" s="13" t="s">
        <v>16</v>
      </c>
      <c r="B45" s="7">
        <v>156718</v>
      </c>
      <c r="C45" s="7">
        <v>17736</v>
      </c>
      <c r="D45" s="7">
        <v>7508</v>
      </c>
      <c r="E45" s="7">
        <f>C45-D45</f>
        <v>10228</v>
      </c>
      <c r="F45" s="7">
        <v>17170</v>
      </c>
      <c r="G45" s="7">
        <f>52538+7548</f>
        <v>60086</v>
      </c>
      <c r="H45" s="7">
        <v>91509</v>
      </c>
      <c r="I45" s="7">
        <v>523370</v>
      </c>
      <c r="J45" s="7">
        <f>SUM(F45:I45)</f>
        <v>692135</v>
      </c>
    </row>
    <row r="46" spans="1:10" s="8" customFormat="1" ht="12.75" customHeight="1" x14ac:dyDescent="0.25">
      <c r="A46" s="13" t="s">
        <v>17</v>
      </c>
      <c r="B46" s="7">
        <v>159290</v>
      </c>
      <c r="C46" s="7">
        <v>17094</v>
      </c>
      <c r="D46" s="7">
        <v>9367</v>
      </c>
      <c r="E46" s="7">
        <f>C46-D46</f>
        <v>7727</v>
      </c>
      <c r="F46" s="7">
        <v>16798</v>
      </c>
      <c r="G46" s="7">
        <f>53100+7000</f>
        <v>60100</v>
      </c>
      <c r="H46" s="7">
        <v>90468</v>
      </c>
      <c r="I46" s="7">
        <v>526556</v>
      </c>
      <c r="J46" s="7">
        <f>SUM(F46:I46)</f>
        <v>693922</v>
      </c>
    </row>
    <row r="47" spans="1:10" s="8" customFormat="1" ht="12.75" customHeight="1" x14ac:dyDescent="0.25">
      <c r="A47" s="13" t="s">
        <v>18</v>
      </c>
      <c r="B47" s="7">
        <v>159947</v>
      </c>
      <c r="C47" s="7">
        <v>17460</v>
      </c>
      <c r="D47" s="7">
        <v>7435</v>
      </c>
      <c r="E47" s="7">
        <f>C47-D47</f>
        <v>10025</v>
      </c>
      <c r="F47" s="7">
        <f>16218</f>
        <v>16218</v>
      </c>
      <c r="G47" s="7">
        <f>53408+6877</f>
        <v>60285</v>
      </c>
      <c r="H47" s="7">
        <v>92716</v>
      </c>
      <c r="I47" s="7">
        <v>530393</v>
      </c>
      <c r="J47" s="7">
        <f>SUM(F47:I47)</f>
        <v>699612</v>
      </c>
    </row>
    <row r="48" spans="1:10" s="8" customFormat="1" ht="12.75" customHeight="1" x14ac:dyDescent="0.3">
      <c r="A48" s="15">
        <v>2017</v>
      </c>
      <c r="B48" s="7"/>
      <c r="C48" s="7"/>
      <c r="D48" s="7"/>
      <c r="E48" s="7"/>
      <c r="F48" s="7"/>
      <c r="G48" s="7"/>
      <c r="H48" s="7"/>
      <c r="I48" s="7"/>
      <c r="J48" s="7"/>
    </row>
    <row r="49" spans="1:10" s="8" customFormat="1" ht="12.75" customHeight="1" x14ac:dyDescent="0.25">
      <c r="A49" s="13" t="s">
        <v>15</v>
      </c>
      <c r="B49" s="7">
        <v>153398</v>
      </c>
      <c r="C49" s="7">
        <v>19682</v>
      </c>
      <c r="D49" s="7">
        <v>6594</v>
      </c>
      <c r="E49" s="7">
        <f>C49-D49</f>
        <v>13088</v>
      </c>
      <c r="F49" s="7">
        <v>16036</v>
      </c>
      <c r="G49" s="7">
        <f>55694+5805</f>
        <v>61499</v>
      </c>
      <c r="H49" s="7">
        <v>90041</v>
      </c>
      <c r="I49" s="7">
        <v>537944</v>
      </c>
      <c r="J49" s="7">
        <f>SUM(F49:I49)</f>
        <v>705520</v>
      </c>
    </row>
    <row r="50" spans="1:10" s="8" customFormat="1" ht="12.75" customHeight="1" x14ac:dyDescent="0.25">
      <c r="A50" s="13" t="s">
        <v>16</v>
      </c>
      <c r="B50" s="7">
        <v>160806</v>
      </c>
      <c r="C50" s="7">
        <f>1299+9136+1864+2461+1855+660+594+30+148+13+68+29+27</f>
        <v>18184</v>
      </c>
      <c r="D50" s="7">
        <f>569+1185+68+91+190+22+45+162+2112+1273+1043+863+332+383</f>
        <v>8338</v>
      </c>
      <c r="E50" s="7">
        <f>C50-D50</f>
        <v>9846</v>
      </c>
      <c r="F50" s="7">
        <v>17521</v>
      </c>
      <c r="G50" s="7">
        <f>57617+5560</f>
        <v>63177</v>
      </c>
      <c r="H50" s="7">
        <v>84060</v>
      </c>
      <c r="I50" s="7">
        <v>558409</v>
      </c>
      <c r="J50" s="7">
        <f>SUM(F50:I50)</f>
        <v>723167</v>
      </c>
    </row>
    <row r="51" spans="1:10" s="8" customFormat="1" ht="12.75" customHeight="1" x14ac:dyDescent="0.25">
      <c r="A51" s="13" t="s">
        <v>17</v>
      </c>
      <c r="B51" s="7">
        <v>163566</v>
      </c>
      <c r="C51" s="7">
        <v>18546</v>
      </c>
      <c r="D51" s="7">
        <v>6786</v>
      </c>
      <c r="E51" s="7">
        <f>C51-D51</f>
        <v>11760</v>
      </c>
      <c r="F51" s="7">
        <v>18923</v>
      </c>
      <c r="G51" s="7">
        <v>64105</v>
      </c>
      <c r="H51" s="7">
        <v>83211</v>
      </c>
      <c r="I51" s="7">
        <v>557451</v>
      </c>
      <c r="J51" s="7">
        <f>SUM(F51:I51)</f>
        <v>723690</v>
      </c>
    </row>
    <row r="52" spans="1:10" s="8" customFormat="1" ht="12.75" customHeight="1" x14ac:dyDescent="0.25">
      <c r="A52" s="13" t="s">
        <v>18</v>
      </c>
      <c r="B52" s="7">
        <v>164714</v>
      </c>
      <c r="C52" s="7">
        <v>19324</v>
      </c>
      <c r="D52" s="7">
        <v>7821</v>
      </c>
      <c r="E52" s="7">
        <f>C52-D52</f>
        <v>11503</v>
      </c>
      <c r="F52" s="7">
        <v>17881</v>
      </c>
      <c r="G52" s="7">
        <v>64755</v>
      </c>
      <c r="H52" s="7">
        <v>80847</v>
      </c>
      <c r="I52" s="7">
        <v>559849</v>
      </c>
      <c r="J52" s="7">
        <f>SUM(F52:I52)</f>
        <v>723332</v>
      </c>
    </row>
    <row r="53" spans="1:10" s="8" customFormat="1" ht="12.75" customHeight="1" x14ac:dyDescent="0.3">
      <c r="A53" s="15">
        <v>2018</v>
      </c>
      <c r="B53" s="7"/>
      <c r="C53" s="7"/>
      <c r="D53" s="7"/>
      <c r="E53" s="7"/>
      <c r="F53" s="7"/>
      <c r="G53" s="7"/>
      <c r="H53" s="7"/>
      <c r="I53" s="7"/>
      <c r="J53" s="7"/>
    </row>
    <row r="54" spans="1:10" s="8" customFormat="1" ht="12.75" customHeight="1" x14ac:dyDescent="0.25">
      <c r="A54" s="13" t="s">
        <v>15</v>
      </c>
      <c r="B54" s="7">
        <v>162429</v>
      </c>
      <c r="C54" s="7">
        <v>19196</v>
      </c>
      <c r="D54" s="7">
        <v>8616</v>
      </c>
      <c r="E54" s="7">
        <f>C54-D54</f>
        <v>10580</v>
      </c>
      <c r="F54" s="7">
        <v>17750</v>
      </c>
      <c r="G54" s="7">
        <f>59366+6265</f>
        <v>65631</v>
      </c>
      <c r="H54" s="7">
        <v>83999</v>
      </c>
      <c r="I54" s="7">
        <v>561598</v>
      </c>
      <c r="J54" s="7">
        <f>SUM(F54:I54)</f>
        <v>728978</v>
      </c>
    </row>
    <row r="55" spans="1:10" s="8" customFormat="1" ht="12.75" customHeight="1" x14ac:dyDescent="0.25">
      <c r="A55" s="13" t="s">
        <v>16</v>
      </c>
      <c r="B55" s="7">
        <v>145411</v>
      </c>
      <c r="C55" s="7">
        <v>19381</v>
      </c>
      <c r="D55" s="7">
        <v>7556</v>
      </c>
      <c r="E55" s="7">
        <f>C55-D55</f>
        <v>11825</v>
      </c>
      <c r="F55" s="7">
        <v>18484</v>
      </c>
      <c r="G55" s="7">
        <f>62172+5992</f>
        <v>68164</v>
      </c>
      <c r="H55" s="7">
        <v>84404</v>
      </c>
      <c r="I55" s="7">
        <v>585850</v>
      </c>
      <c r="J55" s="7">
        <f>SUM(F55:I55)</f>
        <v>756902</v>
      </c>
    </row>
    <row r="56" spans="1:10" s="8" customFormat="1" ht="12.75" customHeight="1" x14ac:dyDescent="0.25">
      <c r="A56" s="13" t="s">
        <v>17</v>
      </c>
      <c r="B56" s="7">
        <v>148879</v>
      </c>
      <c r="C56" s="7">
        <v>18282</v>
      </c>
      <c r="D56" s="7">
        <v>10535</v>
      </c>
      <c r="E56" s="7">
        <f>C56-D56</f>
        <v>7747</v>
      </c>
      <c r="F56" s="7">
        <v>19467</v>
      </c>
      <c r="G56" s="7">
        <f>62036+5633</f>
        <v>67669</v>
      </c>
      <c r="H56" s="7">
        <v>84161</v>
      </c>
      <c r="I56" s="7">
        <v>588172</v>
      </c>
      <c r="J56" s="7">
        <f>SUM(F56:I56)</f>
        <v>759469</v>
      </c>
    </row>
    <row r="57" spans="1:10" s="8" customFormat="1" ht="12.75" customHeight="1" x14ac:dyDescent="0.25">
      <c r="A57" s="13" t="s">
        <v>18</v>
      </c>
      <c r="B57" s="7">
        <v>152162</v>
      </c>
      <c r="C57" s="7">
        <v>20176</v>
      </c>
      <c r="D57" s="7">
        <v>9977</v>
      </c>
      <c r="E57" s="7">
        <f>C57-D57</f>
        <v>10199</v>
      </c>
      <c r="F57" s="7">
        <v>19430</v>
      </c>
      <c r="G57" s="7">
        <f>62210+6709</f>
        <v>68919</v>
      </c>
      <c r="H57" s="7">
        <v>82076</v>
      </c>
      <c r="I57" s="7">
        <v>588584</v>
      </c>
      <c r="J57" s="7">
        <f>SUM(F57:I57)</f>
        <v>759009</v>
      </c>
    </row>
    <row r="58" spans="1:10" s="8" customFormat="1" ht="12.75" customHeight="1" x14ac:dyDescent="0.3">
      <c r="A58" s="15">
        <v>2019</v>
      </c>
      <c r="B58" s="7"/>
      <c r="C58" s="7"/>
      <c r="D58" s="7"/>
      <c r="E58" s="7"/>
      <c r="F58" s="7"/>
      <c r="G58" s="7"/>
      <c r="H58" s="7"/>
      <c r="I58" s="7"/>
      <c r="J58" s="7"/>
    </row>
    <row r="59" spans="1:10" s="8" customFormat="1" ht="12.75" customHeight="1" x14ac:dyDescent="0.25">
      <c r="A59" s="13" t="s">
        <v>15</v>
      </c>
      <c r="B59" s="7">
        <v>168826</v>
      </c>
      <c r="C59" s="7">
        <v>20563</v>
      </c>
      <c r="D59" s="7">
        <v>8160</v>
      </c>
      <c r="E59" s="7">
        <f>C59-D59</f>
        <v>12403</v>
      </c>
      <c r="F59" s="7">
        <v>35724</v>
      </c>
      <c r="G59" s="7">
        <v>93015</v>
      </c>
      <c r="H59" s="7">
        <v>100978</v>
      </c>
      <c r="I59" s="7">
        <v>632617</v>
      </c>
      <c r="J59" s="7">
        <f>SUM(F59:I59)</f>
        <v>862334</v>
      </c>
    </row>
    <row r="60" spans="1:10" s="8" customFormat="1" ht="12.75" customHeight="1" x14ac:dyDescent="0.25">
      <c r="A60" s="13" t="s">
        <v>16</v>
      </c>
      <c r="B60" s="7">
        <v>169179</v>
      </c>
      <c r="C60" s="7">
        <v>19824</v>
      </c>
      <c r="D60" s="7">
        <v>10248</v>
      </c>
      <c r="E60" s="7">
        <f>C60-D60</f>
        <v>9576</v>
      </c>
      <c r="F60" s="7">
        <f>38415-238</f>
        <v>38177</v>
      </c>
      <c r="G60" s="7">
        <f>88727+6890</f>
        <v>95617</v>
      </c>
      <c r="H60" s="7">
        <f>105434-707</f>
        <v>104727</v>
      </c>
      <c r="I60" s="7">
        <f>664665-1818</f>
        <v>662847</v>
      </c>
      <c r="J60" s="7">
        <f>SUM(F60:I60)</f>
        <v>901368</v>
      </c>
    </row>
    <row r="61" spans="1:10" s="8" customFormat="1" ht="12.75" customHeight="1" x14ac:dyDescent="0.25">
      <c r="A61" s="13" t="s">
        <v>17</v>
      </c>
      <c r="B61" s="7">
        <v>171762</v>
      </c>
      <c r="C61" s="7">
        <f>9268+2703+1833+1775+1389+883+800+641+231+87+81+29+20+25+55</f>
        <v>19820</v>
      </c>
      <c r="D61" s="7">
        <f>994+136+138+91+701+723+27+52+1560+937+1111+1419+204+162+503+404</f>
        <v>9162</v>
      </c>
      <c r="E61" s="7">
        <f>C61-D61</f>
        <v>10658</v>
      </c>
      <c r="F61" s="7">
        <f>3657+5312+5666+7293+15305+1539</f>
        <v>38772</v>
      </c>
      <c r="G61" s="7">
        <f>16188+58042+23233+1805+190</f>
        <v>99458</v>
      </c>
      <c r="H61" s="7">
        <f>57784+8837+13062+886+3036+18254+292+2462</f>
        <v>104613</v>
      </c>
      <c r="I61" s="7">
        <f>441585+66519+61365+51757+685+24257+14286</f>
        <v>660454</v>
      </c>
      <c r="J61" s="7">
        <f>SUM(F61:I61)</f>
        <v>903297</v>
      </c>
    </row>
    <row r="62" spans="1:10" s="8" customFormat="1" ht="12.75" customHeight="1" x14ac:dyDescent="0.25">
      <c r="A62" s="13" t="s">
        <v>18</v>
      </c>
      <c r="B62" s="7">
        <f>8526+11539+1616+1652+58882+32644+29421+29029</f>
        <v>173309</v>
      </c>
      <c r="C62" s="7">
        <v>20812</v>
      </c>
      <c r="D62" s="7">
        <v>11916</v>
      </c>
      <c r="E62" s="7">
        <f>C62-D62</f>
        <v>8896</v>
      </c>
      <c r="F62" s="7">
        <v>37276</v>
      </c>
      <c r="G62" s="7">
        <v>99205</v>
      </c>
      <c r="H62" s="7">
        <v>101454</v>
      </c>
      <c r="I62" s="7">
        <v>659174</v>
      </c>
      <c r="J62" s="7">
        <f>SUM(F62:I62)</f>
        <v>897109</v>
      </c>
    </row>
    <row r="63" spans="1:10" s="8" customFormat="1" ht="12.75" customHeight="1" x14ac:dyDescent="0.3">
      <c r="A63" s="15">
        <v>2020</v>
      </c>
      <c r="B63" s="7"/>
      <c r="C63" s="7"/>
      <c r="D63" s="7"/>
      <c r="E63" s="7"/>
      <c r="F63" s="7"/>
      <c r="G63" s="7"/>
      <c r="H63" s="7"/>
      <c r="I63" s="7"/>
      <c r="J63" s="7"/>
    </row>
    <row r="64" spans="1:10" s="8" customFormat="1" ht="12.75" customHeight="1" x14ac:dyDescent="0.25">
      <c r="A64" s="13" t="s">
        <v>15</v>
      </c>
      <c r="B64" s="7">
        <v>174767</v>
      </c>
      <c r="C64" s="7">
        <v>19519</v>
      </c>
      <c r="D64" s="7">
        <v>10366</v>
      </c>
      <c r="E64" s="7">
        <f>C64-D64</f>
        <v>9153</v>
      </c>
      <c r="F64" s="7">
        <f>37255</f>
        <v>37255</v>
      </c>
      <c r="G64" s="7">
        <v>102812</v>
      </c>
      <c r="H64" s="7">
        <v>99113</v>
      </c>
      <c r="I64" s="7">
        <v>663049</v>
      </c>
      <c r="J64" s="7">
        <f>SUM(F64:I64)</f>
        <v>902229</v>
      </c>
    </row>
    <row r="65" spans="1:10" s="8" customFormat="1" ht="12.75" customHeight="1" x14ac:dyDescent="0.25">
      <c r="A65" s="13" t="s">
        <v>16</v>
      </c>
      <c r="B65" s="7">
        <v>174433</v>
      </c>
      <c r="C65" s="7">
        <v>17428</v>
      </c>
      <c r="D65" s="7">
        <v>9642</v>
      </c>
      <c r="E65" s="7">
        <f>C65-D65</f>
        <v>7786</v>
      </c>
      <c r="F65" s="7">
        <f>3472+4838+7020+7734+14464+1964</f>
        <v>39492</v>
      </c>
      <c r="G65" s="7">
        <v>101255</v>
      </c>
      <c r="H65" s="7">
        <v>101551</v>
      </c>
      <c r="I65" s="7">
        <v>676145</v>
      </c>
      <c r="J65" s="7">
        <f>SUM(F65:I65)</f>
        <v>918443</v>
      </c>
    </row>
    <row r="66" spans="1:10" s="8" customFormat="1" ht="12.75" customHeight="1" x14ac:dyDescent="0.25">
      <c r="A66" s="13" t="s">
        <v>17</v>
      </c>
      <c r="B66" s="7">
        <f>173018+1638</f>
        <v>174656</v>
      </c>
      <c r="C66" s="7">
        <f>8116+2430+1666+1911+1434+1139+621+602+200+69+75+33+17+94+103</f>
        <v>18510</v>
      </c>
      <c r="D66" s="7">
        <f>1020+40+133+242+585+696+24+22+2190+1027+1179+706+228+240+422+416</f>
        <v>9170</v>
      </c>
      <c r="E66" s="7">
        <f>C66-D66</f>
        <v>9340</v>
      </c>
      <c r="F66" s="7">
        <v>38620</v>
      </c>
      <c r="G66" s="7">
        <f>17543+60090+26554+2150</f>
        <v>106337</v>
      </c>
      <c r="H66" s="7">
        <f>59158+6373+11524+706+3054+19748+223+2151</f>
        <v>102937</v>
      </c>
      <c r="I66" s="7">
        <f>459927+65192+62905+51719+23583+14213</f>
        <v>677539</v>
      </c>
      <c r="J66" s="7">
        <f>SUM(F66:I66)</f>
        <v>925433</v>
      </c>
    </row>
    <row r="67" spans="1:10" s="8" customFormat="1" ht="12.75" customHeight="1" x14ac:dyDescent="0.25">
      <c r="A67" s="13" t="s">
        <v>18</v>
      </c>
      <c r="B67" s="7">
        <f>155135+18635+1395</f>
        <v>175165</v>
      </c>
      <c r="C67" s="7">
        <f>11661+2311+1675+1820+1394+1040+669+595+219+164+225+26+13+138+242</f>
        <v>22192</v>
      </c>
      <c r="D67" s="7">
        <f>1017+79+138+76+608+653+23+26+1520+1053+1209+694+264+244+428+460</f>
        <v>8492</v>
      </c>
      <c r="E67" s="7">
        <f>C67-D67</f>
        <v>13700</v>
      </c>
      <c r="F67" s="7">
        <f>3720+5008+7163+7345+15319+2014</f>
        <v>40569</v>
      </c>
      <c r="G67" s="7">
        <f>17728+62094+28529+2208</f>
        <v>110559</v>
      </c>
      <c r="H67" s="7">
        <f>58424+5843+11121+401+2854+20245+241+2101</f>
        <v>101230</v>
      </c>
      <c r="I67" s="7">
        <f>464110+64436+62841+50757+23018+14099</f>
        <v>679261</v>
      </c>
      <c r="J67" s="7">
        <f>SUM(F67:I67)</f>
        <v>931619</v>
      </c>
    </row>
    <row r="68" spans="1:10" s="8" customFormat="1" ht="12.75" customHeight="1" x14ac:dyDescent="0.3">
      <c r="A68" s="15">
        <v>2021</v>
      </c>
      <c r="B68" s="7"/>
      <c r="C68" s="7"/>
      <c r="D68" s="7"/>
      <c r="E68" s="7"/>
      <c r="F68" s="7"/>
      <c r="G68" s="7"/>
      <c r="H68" s="7"/>
      <c r="I68" s="7"/>
      <c r="J68" s="7"/>
    </row>
    <row r="69" spans="1:10" s="8" customFormat="1" ht="12.75" customHeight="1" x14ac:dyDescent="0.25">
      <c r="A69" s="13" t="s">
        <v>15</v>
      </c>
      <c r="B69" s="7">
        <v>175765</v>
      </c>
      <c r="C69" s="7">
        <f>19030+24</f>
        <v>19054</v>
      </c>
      <c r="D69" s="7">
        <v>12857</v>
      </c>
      <c r="E69" s="7">
        <f>C69-D69</f>
        <v>6197</v>
      </c>
      <c r="F69" s="7">
        <f>3970+5117+7281+6997+17930+1944</f>
        <v>43239</v>
      </c>
      <c r="G69" s="7">
        <f>17689+63479+33544+2258</f>
        <v>116970</v>
      </c>
      <c r="H69" s="7">
        <f>57224+5612+11065+401+2874+20928+260+1573</f>
        <v>99937</v>
      </c>
      <c r="I69" s="7">
        <f>467408+64582+63729+49824+22507+14474</f>
        <v>682524</v>
      </c>
      <c r="J69" s="7">
        <f>SUM(F69:I69)</f>
        <v>942670</v>
      </c>
    </row>
    <row r="70" spans="1:10" s="8" customFormat="1" ht="12.75" customHeight="1" x14ac:dyDescent="0.25">
      <c r="A70" s="13" t="s">
        <v>16</v>
      </c>
      <c r="B70" s="7">
        <v>175982</v>
      </c>
      <c r="C70" s="7">
        <v>19438</v>
      </c>
      <c r="D70" s="7">
        <v>10371</v>
      </c>
      <c r="E70" s="7">
        <f>C70-D70</f>
        <v>9067</v>
      </c>
      <c r="F70" s="7">
        <f>4257+4957+7371+17856+7066+2129</f>
        <v>43636</v>
      </c>
      <c r="G70" s="7">
        <f>18553+34916+66075+2277</f>
        <v>121821</v>
      </c>
      <c r="H70" s="7">
        <f>58116+5502+11071+18598+2874+341+262+1829</f>
        <v>98593</v>
      </c>
      <c r="I70" s="7">
        <f>482444+67420+65441+49306+22785+14177</f>
        <v>701573</v>
      </c>
      <c r="J70" s="7">
        <f>SUM(F70:I70)</f>
        <v>965623</v>
      </c>
    </row>
    <row r="71" spans="1:10" s="8" customFormat="1" ht="12.75" customHeight="1" x14ac:dyDescent="0.25">
      <c r="A71" s="13" t="s">
        <v>17</v>
      </c>
      <c r="B71" s="7">
        <f>175737-979</f>
        <v>174758</v>
      </c>
      <c r="C71" s="7">
        <f>8858+2740+1640+960+1136+1721+622+698+163+76+81+30+38+68+84+127+29</f>
        <v>19071</v>
      </c>
      <c r="D71" s="7">
        <f>711+28+127+727+249+65+21+24+2464+1097+953+273+217+821+364+426+205+250+225+30+149+45</f>
        <v>9471</v>
      </c>
      <c r="E71" s="7">
        <f>C71-D71</f>
        <v>9600</v>
      </c>
      <c r="F71" s="7">
        <f>4151+6105+7787+16841+6725+2178</f>
        <v>43787</v>
      </c>
      <c r="G71" s="7">
        <f>18064+31914+65739+2419</f>
        <v>118136</v>
      </c>
      <c r="H71" s="7">
        <f>57807+5150+11064+21243+2874+317+320+1643</f>
        <v>100418</v>
      </c>
      <c r="I71" s="7">
        <f>480529+67792+64996+50934+22607+14522</f>
        <v>701380</v>
      </c>
      <c r="J71" s="7">
        <f>SUM(F71:I71)</f>
        <v>963721</v>
      </c>
    </row>
    <row r="72" spans="1:10" s="8" customFormat="1" ht="12.75" customHeight="1" x14ac:dyDescent="0.25">
      <c r="A72" s="13" t="s">
        <v>18</v>
      </c>
      <c r="B72" s="7">
        <v>172084</v>
      </c>
      <c r="C72" s="7">
        <f>11570+2822+1519+1195+1132+1740+623+641+158+52+26+29+87+109+32-475-303-225-20+33-4-45</f>
        <v>20696</v>
      </c>
      <c r="D72" s="7">
        <f>722+24+129+512+613+66+21+22+2274+1280+1091+253+212+825+389+513</f>
        <v>8946</v>
      </c>
      <c r="E72" s="7">
        <f>C72-D72</f>
        <v>11750</v>
      </c>
      <c r="F72" s="7">
        <f>4175+6060+8139+18887+6721+2182</f>
        <v>46164</v>
      </c>
      <c r="G72" s="7">
        <f>19400+32049+68629+2481</f>
        <v>122559</v>
      </c>
      <c r="H72" s="7">
        <f>57741+5238+11040+20933+2874+271+323+1273</f>
        <v>99693</v>
      </c>
      <c r="I72" s="7">
        <f>480340+68442+65214+49822+22465+14773</f>
        <v>701056</v>
      </c>
      <c r="J72" s="7">
        <f>SUM(F72:I72)</f>
        <v>969472</v>
      </c>
    </row>
    <row r="73" spans="1:10" s="8" customFormat="1" ht="12.75" customHeight="1" x14ac:dyDescent="0.3">
      <c r="A73" s="15">
        <v>2022</v>
      </c>
      <c r="B73" s="7"/>
      <c r="C73" s="7"/>
      <c r="D73" s="7"/>
      <c r="E73" s="7"/>
      <c r="F73" s="7"/>
      <c r="G73" s="7"/>
      <c r="H73" s="7"/>
      <c r="I73" s="7"/>
      <c r="J73" s="7"/>
    </row>
    <row r="74" spans="1:10" s="8" customFormat="1" ht="12.75" customHeight="1" x14ac:dyDescent="0.25">
      <c r="A74" s="13" t="s">
        <v>15</v>
      </c>
      <c r="B74" s="7">
        <v>169735</v>
      </c>
      <c r="C74" s="7">
        <v>20269</v>
      </c>
      <c r="D74" s="7">
        <f>10064+1746</f>
        <v>11810</v>
      </c>
      <c r="E74" s="7">
        <f>C74-D74</f>
        <v>8459</v>
      </c>
      <c r="F74" s="7">
        <f>3858+6289+8215+20412+6864+2545</f>
        <v>48183</v>
      </c>
      <c r="G74" s="7">
        <f>18608+33854+69670+2499</f>
        <v>124631</v>
      </c>
      <c r="H74" s="7">
        <f>57494+5039+8335+17892+2894+165+363+1242</f>
        <v>93424</v>
      </c>
      <c r="I74" s="7">
        <f>484428+70458+65324+49951+22778+14672</f>
        <v>707611</v>
      </c>
      <c r="J74" s="7">
        <f>SUM(F74:I74)</f>
        <v>973849</v>
      </c>
    </row>
    <row r="75" spans="1:10" s="8" customFormat="1" ht="12.75" customHeight="1" x14ac:dyDescent="0.25">
      <c r="A75" s="13" t="s">
        <v>16</v>
      </c>
      <c r="B75" s="7">
        <v>168976</v>
      </c>
      <c r="C75" s="7">
        <f>19689+717+27</f>
        <v>20433</v>
      </c>
      <c r="D75" s="7">
        <f>9880+1595</f>
        <v>11475</v>
      </c>
      <c r="E75" s="7">
        <f>C75-D75</f>
        <v>8958</v>
      </c>
      <c r="F75" s="7">
        <v>47477</v>
      </c>
      <c r="G75" s="7">
        <v>127336</v>
      </c>
      <c r="H75" s="7">
        <v>96595</v>
      </c>
      <c r="I75" s="7">
        <v>735208</v>
      </c>
      <c r="J75" s="7">
        <f>SUM(F75:I75)</f>
        <v>1006616</v>
      </c>
    </row>
    <row r="76" spans="1:10" s="8" customFormat="1" ht="12.75" customHeight="1" x14ac:dyDescent="0.25">
      <c r="A76" s="13" t="s">
        <v>17</v>
      </c>
      <c r="B76" s="7">
        <v>166848</v>
      </c>
      <c r="C76" s="7">
        <v>17811</v>
      </c>
      <c r="D76" s="7">
        <v>9666</v>
      </c>
      <c r="E76" s="7">
        <f>C76-D76</f>
        <v>8145</v>
      </c>
      <c r="F76" s="7">
        <v>49659</v>
      </c>
      <c r="G76" s="7">
        <v>131165</v>
      </c>
      <c r="H76" s="7">
        <v>97543</v>
      </c>
      <c r="I76" s="7">
        <v>732369</v>
      </c>
      <c r="J76" s="7">
        <f>SUM(F76:I76)</f>
        <v>1010736</v>
      </c>
    </row>
    <row r="77" spans="1:10" s="8" customFormat="1" ht="12" customHeight="1" x14ac:dyDescent="0.25">
      <c r="A77" s="14" t="s">
        <v>18</v>
      </c>
      <c r="B77" s="7">
        <v>167199</v>
      </c>
      <c r="C77" s="7">
        <v>22573</v>
      </c>
      <c r="D77" s="7">
        <v>10027</v>
      </c>
      <c r="E77" s="7">
        <f>C77-D77</f>
        <v>12546</v>
      </c>
      <c r="F77" s="7">
        <v>53201</v>
      </c>
      <c r="G77" s="7">
        <v>135215</v>
      </c>
      <c r="H77" s="7">
        <v>104379</v>
      </c>
      <c r="I77" s="7">
        <v>737622</v>
      </c>
      <c r="J77" s="7">
        <f>SUM(F77:I77)</f>
        <v>1030417</v>
      </c>
    </row>
    <row r="78" spans="1:10" s="8" customFormat="1" ht="11.25" customHeight="1" x14ac:dyDescent="0.3">
      <c r="A78" s="15">
        <v>2023</v>
      </c>
      <c r="B78" s="7"/>
      <c r="D78" s="7"/>
      <c r="E78" s="7"/>
      <c r="F78" s="7"/>
      <c r="G78" s="7"/>
      <c r="H78" s="7"/>
      <c r="I78" s="7"/>
      <c r="J78" s="7"/>
    </row>
    <row r="79" spans="1:10" s="8" customFormat="1" ht="12.75" customHeight="1" x14ac:dyDescent="0.25">
      <c r="A79" s="13" t="s">
        <v>15</v>
      </c>
      <c r="B79" s="7">
        <v>168196</v>
      </c>
      <c r="C79" s="7">
        <f>8668+2716+1439+1949+1552+1485+659+697+129+234+38+4+53+175+28+35+1300-885-20-75-1000-8-102</f>
        <v>19071</v>
      </c>
      <c r="D79" s="7">
        <f>729+22+763+167+692+62+24+21+2571+1400+286+923+254+897+365+539</f>
        <v>9715</v>
      </c>
      <c r="E79" s="7">
        <f>C79-D79</f>
        <v>9356</v>
      </c>
      <c r="F79" s="7">
        <v>50734</v>
      </c>
      <c r="G79" s="7">
        <v>151081</v>
      </c>
      <c r="H79" s="7">
        <v>99547</v>
      </c>
      <c r="I79" s="7">
        <v>745789</v>
      </c>
      <c r="J79" s="7">
        <f>SUM(F79:I79)</f>
        <v>1047151</v>
      </c>
    </row>
    <row r="80" spans="1:10" s="8" customFormat="1" ht="12.75" customHeight="1" x14ac:dyDescent="0.25">
      <c r="A80" s="13" t="s">
        <v>16</v>
      </c>
      <c r="B80" s="7">
        <v>168825</v>
      </c>
      <c r="C80" s="7">
        <f>10377+2640+1337+1753+1266+1575+689+767+143+110+38+9+38+205+18+166-612-30-75+80-103-6</f>
        <v>20385</v>
      </c>
      <c r="D80" s="7">
        <f>738+23+858+106+669+67+24+23+2672+1642+406+1093+293+986+455+535</f>
        <v>10590</v>
      </c>
      <c r="E80" s="7">
        <f>C80-D80</f>
        <v>9795</v>
      </c>
      <c r="F80" s="7">
        <v>56417</v>
      </c>
      <c r="G80" s="7">
        <v>151834</v>
      </c>
      <c r="H80" s="7">
        <v>101200</v>
      </c>
      <c r="I80" s="7">
        <v>772358</v>
      </c>
      <c r="J80" s="7">
        <f>SUM(F80:I80)</f>
        <v>1081809</v>
      </c>
    </row>
    <row r="81" spans="1:10" s="8" customFormat="1" ht="12.75" customHeight="1" x14ac:dyDescent="0.25">
      <c r="A81" s="13" t="s">
        <v>17</v>
      </c>
      <c r="B81" s="7">
        <v>169078</v>
      </c>
      <c r="C81" s="7">
        <f>8521+2548+1624+1825+1466+1613+643+752+162+110+29+14+38+215+82+63-652-30-75+56-107-6</f>
        <v>18891</v>
      </c>
      <c r="D81" s="7">
        <f>751+18+1008+103+705+63+16+26+2900+1235+324+999+203+985+392+554</f>
        <v>10282</v>
      </c>
      <c r="E81" s="7">
        <f>C81-D81</f>
        <v>8609</v>
      </c>
      <c r="F81" s="7">
        <v>52443</v>
      </c>
      <c r="G81" s="7">
        <v>159794</v>
      </c>
      <c r="H81" s="7">
        <v>97629</v>
      </c>
      <c r="I81" s="7">
        <v>773970</v>
      </c>
      <c r="J81" s="7">
        <f>SUM(F81:I81)</f>
        <v>1083836</v>
      </c>
    </row>
    <row r="82" spans="1:10" s="8" customFormat="1" ht="12" customHeight="1" x14ac:dyDescent="0.25">
      <c r="A82" s="14" t="s">
        <v>18</v>
      </c>
      <c r="B82" s="7">
        <v>169658</v>
      </c>
      <c r="C82" s="7">
        <f>12873+2524+1304+1971+1648+1648+702+715+168+100+28-3+42+169+31+44-546-30-75+61-22-6</f>
        <v>23346</v>
      </c>
      <c r="D82" s="7">
        <f>760+21+891+108+701+63+31+27+2996+1758+376+1206+260+932+531+596</f>
        <v>11257</v>
      </c>
      <c r="E82" s="7">
        <f>C82-D82</f>
        <v>12089</v>
      </c>
      <c r="F82" s="7">
        <f>5873+6506+20278+9649+8099+2528</f>
        <v>52933</v>
      </c>
      <c r="G82" s="7">
        <f>26607+58433+79694+3313</f>
        <v>168047</v>
      </c>
      <c r="H82" s="7">
        <f>60417+4790+16426+6261+2915+166+734+1515</f>
        <v>93224</v>
      </c>
      <c r="I82" s="7">
        <f>539977+72167+69310+53278+24905+17014</f>
        <v>776651</v>
      </c>
      <c r="J82" s="7">
        <f>SUM(F82:I82)</f>
        <v>1090855</v>
      </c>
    </row>
    <row r="83" spans="1:10" s="8" customFormat="1" ht="15" customHeight="1" x14ac:dyDescent="0.3">
      <c r="A83" s="15">
        <v>2024</v>
      </c>
      <c r="C83"/>
      <c r="D83"/>
      <c r="E83"/>
      <c r="F83"/>
      <c r="G83"/>
      <c r="H83"/>
      <c r="I83" s="7"/>
      <c r="J83" s="7"/>
    </row>
    <row r="84" spans="1:10" x14ac:dyDescent="0.25">
      <c r="A84" s="13" t="s">
        <v>15</v>
      </c>
      <c r="B84" s="7">
        <v>171134</v>
      </c>
      <c r="C84" s="7">
        <f>9866+1482+2562+1990+1524+1626+676+708+159+23+188+6+47+147+126+42-30-120-75+38-123-125</f>
        <v>20737</v>
      </c>
      <c r="D84" s="7">
        <f>763+816+24+101+760+63+24+27+2813+294+1358+1082+241+988+495+551</f>
        <v>10400</v>
      </c>
      <c r="E84" s="7">
        <f>C84-D84</f>
        <v>10337</v>
      </c>
      <c r="F84" s="7">
        <f>5335+24809+6591+9247+8099+2699</f>
        <v>56780</v>
      </c>
      <c r="G84" s="7">
        <f>27927+65432+83277+3180</f>
        <v>179816</v>
      </c>
      <c r="H84" s="7">
        <f>60462+15272+4792+4626+2936+152+833+1513</f>
        <v>90586</v>
      </c>
      <c r="I84" s="7">
        <f>548534+73227+70790+53554+25358+17390</f>
        <v>788853</v>
      </c>
      <c r="J84" s="7">
        <f>SUM(F84:I84)</f>
        <v>1116035</v>
      </c>
    </row>
    <row r="85" spans="1:10" x14ac:dyDescent="0.25">
      <c r="A85" s="13" t="s">
        <v>16</v>
      </c>
      <c r="B85" s="7">
        <v>171379</v>
      </c>
      <c r="C85" s="7">
        <f>11677+1805+2485+1755+1555+1681+679+667+159+27+96+5+44+139+43+162-30-158-168+7-69-6</f>
        <v>22555</v>
      </c>
      <c r="D85" s="7">
        <f>762+781+24+94+746+70+24+27+2994+544+1708+1241+339+1081+514+573</f>
        <v>11522</v>
      </c>
      <c r="E85" s="7">
        <f>C85-D85</f>
        <v>11033</v>
      </c>
      <c r="F85" s="7">
        <f>5364+25890+7280+9803+9326+2880</f>
        <v>60543</v>
      </c>
      <c r="G85" s="7">
        <f>30026+62637+86889+3406</f>
        <v>182958</v>
      </c>
      <c r="H85" s="7">
        <f>61547+16834+4755+3553+2936+124+880+1499</f>
        <v>92128</v>
      </c>
      <c r="I85" s="7">
        <f>570663+76515+72217+55676+26163+18157</f>
        <v>819391</v>
      </c>
      <c r="J85" s="7">
        <f>SUM(F85:I85)</f>
        <v>1155020</v>
      </c>
    </row>
    <row r="86" spans="1:10" x14ac:dyDescent="0.25">
      <c r="A86" s="13" t="s">
        <v>17</v>
      </c>
      <c r="B86" s="7">
        <v>173077</v>
      </c>
      <c r="C86" s="7">
        <f>10493+2550+1837+1777+1847+1771+818+623+175+83+28+25+40+163+33+37-10604-75-30-1038+48-93-6</f>
        <v>10502</v>
      </c>
      <c r="D86" s="7">
        <f>790+17+98+721+774+21+24+26+2851+1432+982+522+280+1086+494+544</f>
        <v>10662</v>
      </c>
      <c r="E86" s="7">
        <f>C86-D86</f>
        <v>-160</v>
      </c>
      <c r="F86" s="7">
        <f>6129+8908+10292+18760+9488+2752</f>
        <v>56329</v>
      </c>
      <c r="G86" s="7">
        <f>38245+64264+87137+3225</f>
        <v>192871</v>
      </c>
      <c r="H86" s="7">
        <f>61714+4657+4542+18087+2936+81+869+1482</f>
        <v>94368</v>
      </c>
      <c r="I86" s="7">
        <f>566167+75654+73269+55557+26285+18144</f>
        <v>815076</v>
      </c>
      <c r="J86" s="7">
        <f t="shared" ref="J86" si="1">SUM(F86:I86)</f>
        <v>1158644</v>
      </c>
    </row>
    <row r="87" spans="1:10" x14ac:dyDescent="0.25">
      <c r="A87" s="13" t="s">
        <v>18</v>
      </c>
      <c r="B87" s="7">
        <v>173354</v>
      </c>
      <c r="C87" s="7">
        <f>12902+2642+2073+1563+2775+1815+871+595+189+164+6+23+52+106+79+35-75-30+108-139-162</f>
        <v>25592</v>
      </c>
      <c r="D87" s="7">
        <f>796+24+99+800+844+25+27+2932+1598+1203+382+447+1120+565+540</f>
        <v>11402</v>
      </c>
      <c r="E87" s="7">
        <f>C87-D87</f>
        <v>14190</v>
      </c>
      <c r="F87" s="7">
        <f>6662+8725+10543+20684+9589+2597</f>
        <v>58800</v>
      </c>
      <c r="G87" s="7">
        <f>43409+65342+85012+3751</f>
        <v>197514</v>
      </c>
      <c r="H87" s="7">
        <f>61722+4700+4245+17608+936+76+888+1436</f>
        <v>91611</v>
      </c>
      <c r="I87" s="7">
        <f>565977+75246+74369+55677+26267+17799</f>
        <v>815335</v>
      </c>
      <c r="J87" s="7">
        <f>677771+88671+89157+103634+85948+65342+30906+21832</f>
        <v>1163261</v>
      </c>
    </row>
    <row r="88" spans="1:10" ht="13" x14ac:dyDescent="0.3">
      <c r="A88" s="15">
        <v>2025</v>
      </c>
    </row>
    <row r="89" spans="1:10" x14ac:dyDescent="0.25">
      <c r="A89" s="13" t="s">
        <v>15</v>
      </c>
      <c r="B89" s="7">
        <v>173971</v>
      </c>
      <c r="C89" s="7">
        <v>27813.159790000002</v>
      </c>
      <c r="D89" s="7">
        <v>10917.202149999999</v>
      </c>
      <c r="E89" s="7">
        <v>16895.957640000001</v>
      </c>
      <c r="F89" s="7">
        <v>63094.844769999996</v>
      </c>
      <c r="G89" s="7">
        <v>202698.36684</v>
      </c>
      <c r="H89" s="7">
        <v>91003.457429999995</v>
      </c>
      <c r="I89" s="7">
        <v>826832.30474000005</v>
      </c>
      <c r="J89" s="7">
        <v>1183628.9737800001</v>
      </c>
    </row>
    <row r="90" spans="1:10" x14ac:dyDescent="0.25">
      <c r="A90" s="7" t="s">
        <v>16</v>
      </c>
      <c r="B90" s="7">
        <v>174969</v>
      </c>
      <c r="C90" s="7">
        <v>22730.520000000004</v>
      </c>
      <c r="D90" s="7">
        <v>12011.71</v>
      </c>
      <c r="E90" s="7">
        <v>10718.810000000005</v>
      </c>
      <c r="F90" s="7">
        <v>63540</v>
      </c>
      <c r="G90" s="7">
        <v>210788</v>
      </c>
      <c r="H90" s="7">
        <v>93082</v>
      </c>
      <c r="I90" s="7">
        <v>855078</v>
      </c>
      <c r="J90" s="7">
        <v>1222488</v>
      </c>
    </row>
    <row r="91" spans="1:10" x14ac:dyDescent="0.25">
      <c r="A91" s="13" t="s">
        <v>17</v>
      </c>
      <c r="B91" s="7">
        <v>175252</v>
      </c>
      <c r="C91" s="26">
        <v>22414.462999999996</v>
      </c>
      <c r="D91" s="26">
        <v>11109.76</v>
      </c>
      <c r="E91" s="7">
        <v>11304.702999999996</v>
      </c>
      <c r="F91" s="7">
        <v>66286</v>
      </c>
      <c r="G91" s="7">
        <v>209314</v>
      </c>
      <c r="H91" s="7">
        <v>91865</v>
      </c>
      <c r="I91" s="7">
        <v>859036</v>
      </c>
      <c r="J91" s="7">
        <v>1226501</v>
      </c>
    </row>
    <row r="94" spans="1:10" x14ac:dyDescent="0.25">
      <c r="B94" s="7"/>
    </row>
  </sheetData>
  <mergeCells count="2">
    <mergeCell ref="F4:I4"/>
    <mergeCell ref="A1:J1"/>
  </mergeCells>
  <phoneticPr fontId="0" type="noConversion"/>
  <printOptions horizontalCentered="1"/>
  <pageMargins left="0" right="0" top="0.5" bottom="0.5" header="0.75" footer="0.25"/>
  <pageSetup scale="9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showGridLines="0" workbookViewId="0">
      <selection sqref="A1:I1"/>
    </sheetView>
  </sheetViews>
  <sheetFormatPr defaultColWidth="9" defaultRowHeight="15.5" x14ac:dyDescent="0.35"/>
  <cols>
    <col min="1" max="16384" width="9" style="16"/>
  </cols>
  <sheetData>
    <row r="1" spans="1:9" x14ac:dyDescent="0.35">
      <c r="A1" s="32" t="s">
        <v>23</v>
      </c>
      <c r="B1" s="32"/>
      <c r="C1" s="32"/>
      <c r="D1" s="32"/>
      <c r="E1" s="32"/>
      <c r="F1" s="32"/>
      <c r="G1" s="32"/>
      <c r="H1" s="32"/>
      <c r="I1" s="32"/>
    </row>
    <row r="2" spans="1:9" x14ac:dyDescent="0.35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x14ac:dyDescent="0.35">
      <c r="A4" s="34" t="s">
        <v>19</v>
      </c>
      <c r="B4" s="35"/>
      <c r="C4" s="35"/>
      <c r="D4" s="35"/>
      <c r="E4" s="35"/>
      <c r="F4" s="35"/>
      <c r="G4" s="35"/>
      <c r="H4" s="35"/>
      <c r="I4" s="35"/>
    </row>
    <row r="5" spans="1:9" x14ac:dyDescent="0.35">
      <c r="A5" s="18"/>
      <c r="B5" s="18"/>
      <c r="C5" s="18"/>
      <c r="D5" s="18"/>
      <c r="E5" s="18"/>
      <c r="F5" s="18"/>
      <c r="G5" s="18"/>
      <c r="H5" s="18"/>
      <c r="I5" s="18"/>
    </row>
    <row r="6" spans="1:9" ht="45" customHeight="1" x14ac:dyDescent="0.35">
      <c r="A6" s="36" t="s">
        <v>20</v>
      </c>
      <c r="B6" s="36"/>
      <c r="C6" s="36"/>
      <c r="D6" s="36"/>
      <c r="E6" s="36"/>
      <c r="F6" s="36"/>
      <c r="G6" s="36"/>
      <c r="H6" s="36"/>
      <c r="I6" s="36"/>
    </row>
    <row r="7" spans="1:9" x14ac:dyDescent="0.35">
      <c r="A7" s="19"/>
      <c r="B7" s="17"/>
      <c r="C7" s="17"/>
      <c r="D7" s="17"/>
      <c r="E7" s="17"/>
      <c r="F7" s="17"/>
      <c r="G7" s="17"/>
      <c r="H7" s="17"/>
      <c r="I7" s="17"/>
    </row>
    <row r="8" spans="1:9" x14ac:dyDescent="0.35">
      <c r="A8" s="35" t="s">
        <v>21</v>
      </c>
      <c r="B8" s="35"/>
      <c r="C8" s="35"/>
      <c r="D8" s="35"/>
      <c r="E8" s="35"/>
      <c r="F8" s="35"/>
      <c r="G8" s="35"/>
      <c r="H8" s="35"/>
      <c r="I8" s="35"/>
    </row>
    <row r="9" spans="1:9" x14ac:dyDescent="0.35">
      <c r="A9" s="17"/>
      <c r="B9" s="17"/>
      <c r="C9" s="17"/>
      <c r="D9" s="17"/>
      <c r="E9" s="17"/>
      <c r="F9" s="17"/>
      <c r="G9" s="17"/>
      <c r="H9" s="17"/>
      <c r="I9" s="17"/>
    </row>
    <row r="10" spans="1:9" ht="44.25" customHeight="1" x14ac:dyDescent="0.35">
      <c r="A10" s="31"/>
      <c r="B10" s="31"/>
      <c r="C10" s="31"/>
      <c r="D10" s="31"/>
      <c r="E10" s="31"/>
      <c r="F10" s="31"/>
      <c r="G10" s="31"/>
      <c r="H10" s="31"/>
      <c r="I10" s="31"/>
    </row>
  </sheetData>
  <mergeCells count="6">
    <mergeCell ref="A10:I10"/>
    <mergeCell ref="A1:I1"/>
    <mergeCell ref="A2:I2"/>
    <mergeCell ref="A4:I4"/>
    <mergeCell ref="A6:I6"/>
    <mergeCell ref="A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Indicator of CU Act</vt:lpstr>
      <vt:lpstr>Notes</vt:lpstr>
      <vt:lpstr>\0</vt:lpstr>
      <vt:lpstr>CBBSOA</vt:lpstr>
      <vt:lpstr>CBBSOL</vt:lpstr>
      <vt:lpstr>FORMAT1</vt:lpstr>
      <vt:lpstr>FORMAT4</vt:lpstr>
      <vt:lpstr>FORMAT5</vt:lpstr>
      <vt:lpstr>FORMAT6</vt:lpstr>
      <vt:lpstr>FORMAT7</vt:lpstr>
      <vt:lpstr>FORMAT8</vt:lpstr>
      <vt:lpstr>'Indicator of CU Act'!Print_Area</vt:lpstr>
      <vt:lpstr>'Indicator of CU Act'!Print_Titles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2015-07-22T23:03:32Z</cp:lastPrinted>
  <dcterms:created xsi:type="dcterms:W3CDTF">2001-08-29T22:10:54Z</dcterms:created>
  <dcterms:modified xsi:type="dcterms:W3CDTF">2025-12-12T17:22:12Z</dcterms:modified>
</cp:coreProperties>
</file>