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7 External Sector\"/>
    </mc:Choice>
  </mc:AlternateContent>
  <xr:revisionPtr revIDLastSave="0" documentId="13_ncr:1_{426723C6-C653-4EEA-A53A-0A6BFAFC16C0}" xr6:coauthVersionLast="47" xr6:coauthVersionMax="47" xr10:uidLastSave="{00000000-0000-0000-0000-000000000000}"/>
  <bookViews>
    <workbookView xWindow="-28920" yWindow="-210" windowWidth="29040" windowHeight="15720" firstSheet="1" activeTab="5" xr2:uid="{00000000-000D-0000-FFFF-FFFF00000000}"/>
  </bookViews>
  <sheets>
    <sheet name="1980-95" sheetId="2" r:id="rId1"/>
    <sheet name="1996-05" sheetId="4" r:id="rId2"/>
    <sheet name="2006-10" sheetId="5" r:id="rId3"/>
    <sheet name="2011-16" sheetId="7" r:id="rId4"/>
    <sheet name="2016-21" sheetId="8" r:id="rId5"/>
    <sheet name="2022-27" sheetId="9" r:id="rId6"/>
    <sheet name="Notes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0">'1980-95'!$A$1:$I$56</definedName>
    <definedName name="_xlnm.Print_Area" localSheetId="1">'1996-05'!$A$1:$J$65</definedName>
    <definedName name="_xlnm.Print_Area" localSheetId="2">'2006-10'!$A$1:$K$37</definedName>
    <definedName name="_xlnm.Print_Area" localSheetId="3">'2011-16'!$A$1:$J$46</definedName>
    <definedName name="Print_Area_MI" localSheetId="0">'1980-95'!$A$51:$I$56</definedName>
    <definedName name="Print_Area_MI" localSheetId="1">'1996-05'!#REF!</definedName>
    <definedName name="Print_Area_MI" localSheetId="2">'2006-10'!#REF!</definedName>
    <definedName name="Print_Area_MI" localSheetId="3">'2011-16'!#REF!</definedName>
    <definedName name="_xlnm.Print_Titles" localSheetId="0">'1980-95'!$1:$5</definedName>
    <definedName name="_xlnm.Print_Titles" localSheetId="2">'2006-10'!$1:$5</definedName>
    <definedName name="_xlnm.Print_Titles" localSheetId="3">'2011-16'!$1:$5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9" l="1"/>
  <c r="J11" i="9" s="1"/>
  <c r="J9" i="9"/>
  <c r="J8" i="9"/>
  <c r="J7" i="9"/>
  <c r="J16" i="9"/>
  <c r="J15" i="9"/>
  <c r="J14" i="9"/>
  <c r="J13" i="9"/>
  <c r="J17" i="9" s="1"/>
  <c r="J22" i="9"/>
  <c r="J21" i="9"/>
  <c r="J23" i="9" s="1"/>
  <c r="J20" i="9"/>
  <c r="J19" i="9"/>
  <c r="J28" i="9"/>
  <c r="J27" i="9"/>
  <c r="J26" i="9"/>
  <c r="J29" i="9" s="1"/>
  <c r="J25" i="9"/>
  <c r="I29" i="9"/>
  <c r="H29" i="9"/>
  <c r="G29" i="9"/>
  <c r="F29" i="9"/>
  <c r="E29" i="9"/>
  <c r="D29" i="9"/>
  <c r="C29" i="9"/>
  <c r="B29" i="9"/>
  <c r="I23" i="9"/>
  <c r="H23" i="9"/>
  <c r="G23" i="9"/>
  <c r="F23" i="9"/>
  <c r="E23" i="9"/>
  <c r="D23" i="9"/>
  <c r="C23" i="9"/>
  <c r="B23" i="9"/>
  <c r="I17" i="9"/>
  <c r="H17" i="9"/>
  <c r="G17" i="9"/>
  <c r="F17" i="9"/>
  <c r="E17" i="9"/>
  <c r="D17" i="9"/>
  <c r="C17" i="9"/>
  <c r="B17" i="9"/>
  <c r="C11" i="9" l="1"/>
  <c r="D11" i="9"/>
  <c r="E11" i="9"/>
  <c r="F11" i="9"/>
  <c r="G11" i="9"/>
  <c r="H11" i="9"/>
  <c r="B11" i="9"/>
  <c r="I11" i="9" l="1"/>
  <c r="B41" i="8"/>
  <c r="C41" i="8"/>
  <c r="D41" i="8"/>
  <c r="E41" i="8"/>
  <c r="F41" i="8"/>
  <c r="G41" i="8"/>
  <c r="H41" i="8"/>
  <c r="I41" i="8"/>
  <c r="J41" i="8"/>
  <c r="J11" i="8" l="1"/>
  <c r="I11" i="8"/>
  <c r="H11" i="8"/>
  <c r="G11" i="8"/>
  <c r="F11" i="8"/>
  <c r="E11" i="8"/>
  <c r="D11" i="8"/>
  <c r="C11" i="8"/>
  <c r="B11" i="8"/>
  <c r="J17" i="8"/>
  <c r="I17" i="8"/>
  <c r="H17" i="8"/>
  <c r="G17" i="8"/>
  <c r="F17" i="8"/>
  <c r="E17" i="8"/>
  <c r="D17" i="8"/>
  <c r="C17" i="8"/>
  <c r="B17" i="8"/>
  <c r="J23" i="8" l="1"/>
  <c r="I23" i="8"/>
  <c r="H23" i="8"/>
  <c r="G23" i="8"/>
  <c r="F23" i="8"/>
  <c r="E23" i="8"/>
  <c r="D23" i="8"/>
  <c r="C23" i="8"/>
  <c r="B23" i="8"/>
  <c r="J35" i="8" l="1"/>
  <c r="I35" i="8"/>
  <c r="H35" i="8"/>
  <c r="G35" i="8"/>
  <c r="F35" i="8"/>
  <c r="E35" i="8"/>
  <c r="D35" i="8"/>
  <c r="C35" i="8"/>
  <c r="B35" i="8"/>
  <c r="B29" i="8" l="1"/>
  <c r="C29" i="8"/>
  <c r="E29" i="8"/>
  <c r="F29" i="8"/>
  <c r="G29" i="8"/>
  <c r="H29" i="8"/>
  <c r="I29" i="8"/>
  <c r="J29" i="8"/>
  <c r="D29" i="8"/>
  <c r="H29" i="4" l="1"/>
  <c r="H23" i="4"/>
  <c r="H17" i="4"/>
  <c r="H11" i="4"/>
  <c r="I43" i="4"/>
  <c r="I46" i="4"/>
  <c r="I45" i="4"/>
  <c r="I44" i="4"/>
  <c r="C58" i="4"/>
  <c r="C57" i="4"/>
  <c r="C56" i="4"/>
  <c r="C55" i="4"/>
  <c r="C64" i="4"/>
  <c r="J34" i="5"/>
  <c r="J25" i="5"/>
  <c r="J26" i="5"/>
  <c r="J20" i="5"/>
  <c r="J10" i="5"/>
  <c r="J9" i="5"/>
  <c r="J8" i="5"/>
  <c r="J7" i="5"/>
  <c r="H7" i="5"/>
  <c r="C8" i="5"/>
  <c r="C7" i="5"/>
  <c r="C9" i="5"/>
  <c r="C10" i="5"/>
  <c r="F7" i="5"/>
  <c r="F8" i="5"/>
  <c r="F9" i="5"/>
  <c r="F10" i="5"/>
  <c r="H10" i="5"/>
  <c r="H9" i="5"/>
  <c r="H8" i="5"/>
  <c r="G10" i="5"/>
  <c r="G9" i="5"/>
  <c r="G8" i="5"/>
  <c r="G7" i="5"/>
  <c r="B10" i="5"/>
  <c r="B9" i="5"/>
  <c r="B8" i="5"/>
  <c r="B7" i="5"/>
  <c r="D20" i="5"/>
  <c r="E20" i="5"/>
  <c r="I64" i="4"/>
  <c r="I63" i="4"/>
  <c r="I62" i="4"/>
  <c r="I61" i="4"/>
  <c r="I58" i="4"/>
  <c r="I57" i="4"/>
  <c r="I56" i="4"/>
  <c r="I55" i="4"/>
  <c r="I52" i="4"/>
  <c r="I51" i="4"/>
  <c r="I50" i="4"/>
  <c r="I49" i="4"/>
  <c r="I40" i="4"/>
  <c r="I39" i="4"/>
  <c r="I38" i="4"/>
  <c r="I37" i="4"/>
  <c r="I34" i="4"/>
  <c r="I33" i="4"/>
  <c r="J33" i="4" s="1"/>
  <c r="I32" i="4"/>
  <c r="J32" i="4" s="1"/>
  <c r="I31" i="4"/>
  <c r="J31" i="4" s="1"/>
  <c r="I28" i="4"/>
  <c r="J28" i="4" s="1"/>
  <c r="I27" i="4"/>
  <c r="J27" i="4" s="1"/>
  <c r="I26" i="4"/>
  <c r="J26" i="4" s="1"/>
  <c r="I25" i="4"/>
  <c r="I22" i="4"/>
  <c r="I21" i="4"/>
  <c r="J21" i="4" s="1"/>
  <c r="I20" i="4"/>
  <c r="J20" i="4" s="1"/>
  <c r="I19" i="4"/>
  <c r="J19" i="4" s="1"/>
  <c r="I16" i="4"/>
  <c r="I15" i="4"/>
  <c r="I14" i="4"/>
  <c r="I13" i="4"/>
  <c r="I10" i="4"/>
  <c r="I9" i="4"/>
  <c r="I8" i="4"/>
  <c r="I7" i="4"/>
  <c r="H55" i="2"/>
  <c r="H54" i="2"/>
  <c r="H53" i="2"/>
  <c r="H52" i="2"/>
  <c r="H49" i="2"/>
  <c r="H48" i="2"/>
  <c r="H47" i="2"/>
  <c r="H46" i="2"/>
  <c r="H43" i="2"/>
  <c r="H42" i="2"/>
  <c r="H41" i="2"/>
  <c r="H40" i="2"/>
  <c r="H37" i="2"/>
  <c r="I37" i="2"/>
  <c r="H36" i="2"/>
  <c r="H35" i="2"/>
  <c r="H34" i="2"/>
  <c r="H31" i="2"/>
  <c r="I31" i="2" s="1"/>
  <c r="H30" i="2"/>
  <c r="I30" i="2" s="1"/>
  <c r="H29" i="2"/>
  <c r="I29" i="2" s="1"/>
  <c r="H28" i="2"/>
  <c r="I28" i="2" s="1"/>
  <c r="H25" i="2"/>
  <c r="I25" i="2" s="1"/>
  <c r="H24" i="2"/>
  <c r="I24" i="2" s="1"/>
  <c r="H23" i="2"/>
  <c r="I23" i="2" s="1"/>
  <c r="H22" i="2"/>
  <c r="I22" i="2" s="1"/>
  <c r="H19" i="2"/>
  <c r="I19" i="2" s="1"/>
  <c r="H18" i="2"/>
  <c r="I18" i="2" s="1"/>
  <c r="H17" i="2"/>
  <c r="I17" i="2" s="1"/>
  <c r="H16" i="2"/>
  <c r="I16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E7" i="4"/>
  <c r="G7" i="4"/>
  <c r="B8" i="4"/>
  <c r="C8" i="4"/>
  <c r="E8" i="4"/>
  <c r="G8" i="4"/>
  <c r="B9" i="4"/>
  <c r="C9" i="4"/>
  <c r="E9" i="4"/>
  <c r="G9" i="4"/>
  <c r="B10" i="4"/>
  <c r="E10" i="4"/>
  <c r="G10" i="4"/>
  <c r="D11" i="4"/>
  <c r="F11" i="4"/>
  <c r="B13" i="4"/>
  <c r="E13" i="4"/>
  <c r="E17" i="4" s="1"/>
  <c r="F13" i="4"/>
  <c r="F17" i="4" s="1"/>
  <c r="G13" i="4"/>
  <c r="B14" i="4"/>
  <c r="C14" i="4"/>
  <c r="E14" i="4"/>
  <c r="G14" i="4"/>
  <c r="B15" i="4"/>
  <c r="C15" i="4"/>
  <c r="G15" i="4"/>
  <c r="B16" i="4"/>
  <c r="G16" i="4"/>
  <c r="D17" i="4"/>
  <c r="D22" i="4"/>
  <c r="D23" i="4" s="1"/>
  <c r="F22" i="4"/>
  <c r="F23" i="4" s="1"/>
  <c r="B23" i="4"/>
  <c r="C23" i="4"/>
  <c r="E23" i="4"/>
  <c r="G23" i="4"/>
  <c r="J25" i="4"/>
  <c r="B29" i="4"/>
  <c r="C29" i="4"/>
  <c r="D29" i="4"/>
  <c r="E29" i="4"/>
  <c r="F29" i="4"/>
  <c r="G29" i="4"/>
  <c r="J34" i="4"/>
  <c r="B35" i="4"/>
  <c r="C35" i="4"/>
  <c r="D35" i="4"/>
  <c r="E35" i="4"/>
  <c r="F35" i="4"/>
  <c r="G35" i="4"/>
  <c r="H35" i="4"/>
  <c r="H37" i="4"/>
  <c r="J37" i="4" s="1"/>
  <c r="H38" i="4"/>
  <c r="H39" i="4"/>
  <c r="H40" i="4"/>
  <c r="B41" i="4"/>
  <c r="C41" i="4"/>
  <c r="D41" i="4"/>
  <c r="E41" i="4"/>
  <c r="F41" i="4"/>
  <c r="G41" i="4"/>
  <c r="B43" i="4"/>
  <c r="C43" i="4"/>
  <c r="D43" i="4"/>
  <c r="F43" i="4"/>
  <c r="G43" i="4"/>
  <c r="H43" i="4"/>
  <c r="B44" i="4"/>
  <c r="C44" i="4"/>
  <c r="D44" i="4"/>
  <c r="F44" i="4"/>
  <c r="G44" i="4"/>
  <c r="H44" i="4"/>
  <c r="B45" i="4"/>
  <c r="C45" i="4"/>
  <c r="D45" i="4"/>
  <c r="F45" i="4"/>
  <c r="G45" i="4"/>
  <c r="H45" i="4"/>
  <c r="B46" i="4"/>
  <c r="C46" i="4"/>
  <c r="D46" i="4"/>
  <c r="F46" i="4"/>
  <c r="G46" i="4"/>
  <c r="H46" i="4"/>
  <c r="E47" i="4"/>
  <c r="B49" i="4"/>
  <c r="C49" i="4"/>
  <c r="D49" i="4"/>
  <c r="E49" i="4"/>
  <c r="F49" i="4"/>
  <c r="G49" i="4"/>
  <c r="H49" i="4"/>
  <c r="B50" i="4"/>
  <c r="C50" i="4"/>
  <c r="D50" i="4"/>
  <c r="E50" i="4"/>
  <c r="F50" i="4"/>
  <c r="G50" i="4"/>
  <c r="H50" i="4"/>
  <c r="B51" i="4"/>
  <c r="C51" i="4"/>
  <c r="D51" i="4"/>
  <c r="E51" i="4"/>
  <c r="F51" i="4"/>
  <c r="G51" i="4"/>
  <c r="H51" i="4"/>
  <c r="B52" i="4"/>
  <c r="C52" i="4"/>
  <c r="D52" i="4"/>
  <c r="E52" i="4"/>
  <c r="F52" i="4"/>
  <c r="G52" i="4"/>
  <c r="H52" i="4"/>
  <c r="B55" i="4"/>
  <c r="D55" i="4"/>
  <c r="E55" i="4"/>
  <c r="F55" i="4"/>
  <c r="G55" i="4"/>
  <c r="H55" i="4"/>
  <c r="B56" i="4"/>
  <c r="D56" i="4"/>
  <c r="E56" i="4"/>
  <c r="F56" i="4"/>
  <c r="G56" i="4"/>
  <c r="H56" i="4"/>
  <c r="B57" i="4"/>
  <c r="D57" i="4"/>
  <c r="E57" i="4"/>
  <c r="F57" i="4"/>
  <c r="G57" i="4"/>
  <c r="H57" i="4"/>
  <c r="B58" i="4"/>
  <c r="D58" i="4"/>
  <c r="E58" i="4"/>
  <c r="F58" i="4"/>
  <c r="G58" i="4"/>
  <c r="H58" i="4"/>
  <c r="B61" i="4"/>
  <c r="C61" i="4"/>
  <c r="D61" i="4"/>
  <c r="E61" i="4"/>
  <c r="F61" i="4"/>
  <c r="G61" i="4"/>
  <c r="H61" i="4"/>
  <c r="B62" i="4"/>
  <c r="C62" i="4"/>
  <c r="D62" i="4"/>
  <c r="E62" i="4"/>
  <c r="F62" i="4"/>
  <c r="G62" i="4"/>
  <c r="H62" i="4"/>
  <c r="B63" i="4"/>
  <c r="C63" i="4"/>
  <c r="D63" i="4"/>
  <c r="E63" i="4"/>
  <c r="F63" i="4"/>
  <c r="G63" i="4"/>
  <c r="H63" i="4"/>
  <c r="B64" i="4"/>
  <c r="D64" i="4"/>
  <c r="E64" i="4"/>
  <c r="F64" i="4"/>
  <c r="G64" i="4"/>
  <c r="H64" i="4"/>
  <c r="I34" i="5"/>
  <c r="H34" i="5"/>
  <c r="F34" i="5"/>
  <c r="E34" i="5"/>
  <c r="D34" i="5"/>
  <c r="B34" i="5"/>
  <c r="J33" i="5"/>
  <c r="I33" i="5"/>
  <c r="H33" i="5"/>
  <c r="G33" i="5"/>
  <c r="G35" i="5" s="1"/>
  <c r="F33" i="5"/>
  <c r="E33" i="5"/>
  <c r="D33" i="5"/>
  <c r="C33" i="5"/>
  <c r="B33" i="5"/>
  <c r="J32" i="5"/>
  <c r="I32" i="5"/>
  <c r="H32" i="5"/>
  <c r="F32" i="5"/>
  <c r="E32" i="5"/>
  <c r="D32" i="5"/>
  <c r="B32" i="5"/>
  <c r="J31" i="5"/>
  <c r="I31" i="5"/>
  <c r="H31" i="5"/>
  <c r="F31" i="5"/>
  <c r="E31" i="5"/>
  <c r="D31" i="5"/>
  <c r="C31" i="5"/>
  <c r="B31" i="5"/>
  <c r="G29" i="5"/>
  <c r="J28" i="5"/>
  <c r="I28" i="5"/>
  <c r="H28" i="5"/>
  <c r="F28" i="5"/>
  <c r="E28" i="5"/>
  <c r="D28" i="5"/>
  <c r="C28" i="5"/>
  <c r="B28" i="5"/>
  <c r="J27" i="5"/>
  <c r="I27" i="5"/>
  <c r="H27" i="5"/>
  <c r="F27" i="5"/>
  <c r="E27" i="5"/>
  <c r="D27" i="5"/>
  <c r="C27" i="5"/>
  <c r="B27" i="5"/>
  <c r="I26" i="5"/>
  <c r="H26" i="5"/>
  <c r="F26" i="5"/>
  <c r="E26" i="5"/>
  <c r="D26" i="5"/>
  <c r="C26" i="5"/>
  <c r="B26" i="5"/>
  <c r="I25" i="5"/>
  <c r="H25" i="5"/>
  <c r="F25" i="5"/>
  <c r="E25" i="5"/>
  <c r="D25" i="5"/>
  <c r="C25" i="5"/>
  <c r="B25" i="5"/>
  <c r="J22" i="5"/>
  <c r="I22" i="5"/>
  <c r="H22" i="5"/>
  <c r="G22" i="5"/>
  <c r="F22" i="5"/>
  <c r="E22" i="5"/>
  <c r="D22" i="5"/>
  <c r="C22" i="5"/>
  <c r="B22" i="5"/>
  <c r="J21" i="5"/>
  <c r="I21" i="5"/>
  <c r="H21" i="5"/>
  <c r="G21" i="5"/>
  <c r="F21" i="5"/>
  <c r="E21" i="5"/>
  <c r="D21" i="5"/>
  <c r="C21" i="5"/>
  <c r="B21" i="5"/>
  <c r="I20" i="5"/>
  <c r="H20" i="5"/>
  <c r="G20" i="5"/>
  <c r="F20" i="5"/>
  <c r="C20" i="5"/>
  <c r="B20" i="5"/>
  <c r="J19" i="5"/>
  <c r="I19" i="5"/>
  <c r="H19" i="5"/>
  <c r="G19" i="5"/>
  <c r="F19" i="5"/>
  <c r="E19" i="5"/>
  <c r="D19" i="5"/>
  <c r="C19" i="5"/>
  <c r="B19" i="5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I10" i="5"/>
  <c r="E10" i="5"/>
  <c r="D10" i="5"/>
  <c r="I9" i="5"/>
  <c r="E9" i="5"/>
  <c r="D9" i="5"/>
  <c r="I8" i="5"/>
  <c r="E8" i="5"/>
  <c r="D8" i="5"/>
  <c r="I7" i="5"/>
  <c r="E7" i="5"/>
  <c r="D7" i="5"/>
  <c r="G56" i="2"/>
  <c r="F56" i="2"/>
  <c r="D56" i="2"/>
  <c r="C56" i="2"/>
  <c r="B56" i="2"/>
  <c r="E55" i="2"/>
  <c r="E54" i="2"/>
  <c r="E53" i="2"/>
  <c r="I53" i="2" s="1"/>
  <c r="E52" i="2"/>
  <c r="F50" i="2"/>
  <c r="D50" i="2"/>
  <c r="E49" i="2"/>
  <c r="I49" i="2" s="1"/>
  <c r="G48" i="2"/>
  <c r="E48" i="2"/>
  <c r="C48" i="2"/>
  <c r="B48" i="2"/>
  <c r="G47" i="2"/>
  <c r="E47" i="2"/>
  <c r="C47" i="2"/>
  <c r="B47" i="2"/>
  <c r="E46" i="2"/>
  <c r="G43" i="2"/>
  <c r="F43" i="2"/>
  <c r="E43" i="2"/>
  <c r="D43" i="2"/>
  <c r="B43" i="2"/>
  <c r="G42" i="2"/>
  <c r="F42" i="2"/>
  <c r="E42" i="2"/>
  <c r="D42" i="2"/>
  <c r="B42" i="2"/>
  <c r="G41" i="2"/>
  <c r="F41" i="2"/>
  <c r="E41" i="2"/>
  <c r="D41" i="2"/>
  <c r="C41" i="2"/>
  <c r="B41" i="2"/>
  <c r="G40" i="2"/>
  <c r="F40" i="2"/>
  <c r="D40" i="2"/>
  <c r="C40" i="2"/>
  <c r="B40" i="2"/>
  <c r="C38" i="2"/>
  <c r="G36" i="2"/>
  <c r="G38" i="2" s="1"/>
  <c r="F36" i="2"/>
  <c r="F38" i="2" s="1"/>
  <c r="E36" i="2"/>
  <c r="D36" i="2"/>
  <c r="D38" i="2" s="1"/>
  <c r="B36" i="2"/>
  <c r="B38" i="2" s="1"/>
  <c r="E35" i="2"/>
  <c r="E34" i="2"/>
  <c r="G32" i="2"/>
  <c r="F32" i="2"/>
  <c r="E32" i="2"/>
  <c r="D32" i="2"/>
  <c r="C32" i="2"/>
  <c r="B32" i="2"/>
  <c r="G26" i="2"/>
  <c r="F26" i="2"/>
  <c r="E26" i="2"/>
  <c r="D26" i="2"/>
  <c r="C26" i="2"/>
  <c r="B26" i="2"/>
  <c r="G20" i="2"/>
  <c r="F20" i="2"/>
  <c r="E20" i="2"/>
  <c r="D20" i="2"/>
  <c r="C20" i="2"/>
  <c r="B20" i="2"/>
  <c r="I46" i="2" l="1"/>
  <c r="C65" i="4"/>
  <c r="E11" i="4"/>
  <c r="I52" i="2"/>
  <c r="G53" i="4"/>
  <c r="G11" i="5"/>
  <c r="I65" i="4"/>
  <c r="B29" i="5"/>
  <c r="B35" i="5"/>
  <c r="I53" i="4"/>
  <c r="C23" i="5"/>
  <c r="J40" i="4"/>
  <c r="D65" i="4"/>
  <c r="H53" i="4"/>
  <c r="J38" i="4"/>
  <c r="C44" i="2"/>
  <c r="B50" i="2"/>
  <c r="I55" i="2"/>
  <c r="J63" i="4"/>
  <c r="J46" i="4"/>
  <c r="H17" i="5"/>
  <c r="E38" i="2"/>
  <c r="I43" i="2"/>
  <c r="C11" i="4"/>
  <c r="E17" i="5"/>
  <c r="E23" i="5"/>
  <c r="E35" i="5"/>
  <c r="F53" i="4"/>
  <c r="B47" i="4"/>
  <c r="C11" i="5"/>
  <c r="I40" i="2"/>
  <c r="J29" i="4"/>
  <c r="J16" i="4"/>
  <c r="J14" i="4"/>
  <c r="H38" i="2"/>
  <c r="H26" i="2"/>
  <c r="I35" i="2"/>
  <c r="D44" i="2"/>
  <c r="H50" i="2"/>
  <c r="I11" i="4"/>
  <c r="J64" i="4"/>
  <c r="J62" i="4"/>
  <c r="J58" i="4"/>
  <c r="H59" i="4"/>
  <c r="J10" i="4"/>
  <c r="E50" i="2"/>
  <c r="I54" i="2"/>
  <c r="E59" i="4"/>
  <c r="H44" i="2"/>
  <c r="I29" i="4"/>
  <c r="I42" i="2"/>
  <c r="E65" i="4"/>
  <c r="J56" i="4"/>
  <c r="E29" i="5"/>
  <c r="H65" i="4"/>
  <c r="G65" i="4"/>
  <c r="F65" i="4"/>
  <c r="J57" i="4"/>
  <c r="G59" i="4"/>
  <c r="E53" i="4"/>
  <c r="D53" i="4"/>
  <c r="C53" i="4"/>
  <c r="B53" i="4"/>
  <c r="H47" i="4"/>
  <c r="F47" i="4"/>
  <c r="C47" i="4"/>
  <c r="I26" i="2"/>
  <c r="E44" i="2"/>
  <c r="C17" i="5"/>
  <c r="D59" i="4"/>
  <c r="J55" i="4"/>
  <c r="J52" i="4"/>
  <c r="J51" i="4"/>
  <c r="J50" i="4"/>
  <c r="G47" i="4"/>
  <c r="D47" i="4"/>
  <c r="J43" i="4"/>
  <c r="G17" i="4"/>
  <c r="H56" i="2"/>
  <c r="E11" i="5"/>
  <c r="J22" i="4"/>
  <c r="J23" i="4" s="1"/>
  <c r="B11" i="4"/>
  <c r="I47" i="4"/>
  <c r="F44" i="2"/>
  <c r="J15" i="4"/>
  <c r="J13" i="4"/>
  <c r="G11" i="4"/>
  <c r="I17" i="4"/>
  <c r="G44" i="2"/>
  <c r="G50" i="2"/>
  <c r="J7" i="4"/>
  <c r="I34" i="2"/>
  <c r="I41" i="4"/>
  <c r="B65" i="4"/>
  <c r="B44" i="2"/>
  <c r="I48" i="2"/>
  <c r="K17" i="5"/>
  <c r="I32" i="2"/>
  <c r="J35" i="4"/>
  <c r="I36" i="2"/>
  <c r="I41" i="2"/>
  <c r="C50" i="2"/>
  <c r="E56" i="2"/>
  <c r="I59" i="4"/>
  <c r="B11" i="5"/>
  <c r="H11" i="5"/>
  <c r="J23" i="5"/>
  <c r="C59" i="4"/>
  <c r="I20" i="2"/>
  <c r="B59" i="4"/>
  <c r="J8" i="4"/>
  <c r="J39" i="4"/>
  <c r="J49" i="4"/>
  <c r="J9" i="4"/>
  <c r="J61" i="4"/>
  <c r="F17" i="5"/>
  <c r="I29" i="5"/>
  <c r="C17" i="4"/>
  <c r="B17" i="4"/>
  <c r="H20" i="2"/>
  <c r="F59" i="4"/>
  <c r="I23" i="4"/>
  <c r="I47" i="2"/>
  <c r="G23" i="5"/>
  <c r="H35" i="5"/>
  <c r="J44" i="4"/>
  <c r="J45" i="4"/>
  <c r="H32" i="2"/>
  <c r="D29" i="5"/>
  <c r="I35" i="4"/>
  <c r="F23" i="5"/>
  <c r="C35" i="5"/>
  <c r="F11" i="5"/>
  <c r="K8" i="5"/>
  <c r="I17" i="5"/>
  <c r="K20" i="5"/>
  <c r="K21" i="5"/>
  <c r="K22" i="5"/>
  <c r="K25" i="5"/>
  <c r="I35" i="5"/>
  <c r="J35" i="5"/>
  <c r="H23" i="5"/>
  <c r="K26" i="5"/>
  <c r="K34" i="5"/>
  <c r="H41" i="4"/>
  <c r="J29" i="5"/>
  <c r="D11" i="5"/>
  <c r="D17" i="5"/>
  <c r="D23" i="5"/>
  <c r="D35" i="5"/>
  <c r="B17" i="5"/>
  <c r="K10" i="5"/>
  <c r="G17" i="5"/>
  <c r="F29" i="5"/>
  <c r="K28" i="5"/>
  <c r="F35" i="5"/>
  <c r="K32" i="5"/>
  <c r="J11" i="5"/>
  <c r="J17" i="5"/>
  <c r="H29" i="5"/>
  <c r="I11" i="5"/>
  <c r="B23" i="5"/>
  <c r="I23" i="5"/>
  <c r="K27" i="5"/>
  <c r="K33" i="5"/>
  <c r="C29" i="5"/>
  <c r="K9" i="5"/>
  <c r="K7" i="5"/>
  <c r="K31" i="5"/>
  <c r="K19" i="5"/>
  <c r="I56" i="2" l="1"/>
  <c r="I44" i="2"/>
  <c r="J41" i="4"/>
  <c r="I50" i="2"/>
  <c r="J11" i="4"/>
  <c r="J59" i="4"/>
  <c r="J47" i="4"/>
  <c r="J65" i="4"/>
  <c r="J17" i="4"/>
  <c r="J53" i="4"/>
  <c r="I38" i="2"/>
  <c r="K23" i="5"/>
  <c r="K29" i="5"/>
  <c r="K35" i="5"/>
  <c r="K11" i="5"/>
</calcChain>
</file>

<file path=xl/sharedStrings.xml><?xml version="1.0" encoding="utf-8"?>
<sst xmlns="http://schemas.openxmlformats.org/spreadsheetml/2006/main" count="323" uniqueCount="61">
  <si>
    <t xml:space="preserve"> </t>
  </si>
  <si>
    <t xml:space="preserve"> Citrus</t>
  </si>
  <si>
    <t xml:space="preserve"> Marine</t>
  </si>
  <si>
    <t>Period</t>
  </si>
  <si>
    <t>Sugar</t>
  </si>
  <si>
    <t xml:space="preserve"> Products</t>
  </si>
  <si>
    <t xml:space="preserve"> Garments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</si>
  <si>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</si>
  <si>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</si>
  <si>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</si>
  <si>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</si>
  <si>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</si>
  <si>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</si>
  <si>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</si>
  <si>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</si>
  <si>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</si>
  <si>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</si>
  <si>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Total</t>
  </si>
  <si>
    <t>1990</t>
  </si>
  <si>
    <t>1991</t>
  </si>
  <si>
    <t>1992</t>
  </si>
  <si>
    <t>1993</t>
  </si>
  <si>
    <t>1994</t>
  </si>
  <si>
    <t>1995</t>
  </si>
  <si>
    <t>1996</t>
  </si>
  <si>
    <t>1997</t>
  </si>
  <si>
    <t xml:space="preserve">      $'000</t>
  </si>
  <si>
    <t>Petroleum</t>
  </si>
  <si>
    <t>Jan - Mar</t>
  </si>
  <si>
    <t>Apr - June</t>
  </si>
  <si>
    <t>July - Sept</t>
  </si>
  <si>
    <t>Oct - Dec</t>
  </si>
  <si>
    <t>Molasses</t>
  </si>
  <si>
    <t xml:space="preserve">  Banana</t>
  </si>
  <si>
    <t>Products</t>
  </si>
  <si>
    <t xml:space="preserve">  Other</t>
  </si>
  <si>
    <t>Papaya</t>
  </si>
  <si>
    <t>Juice</t>
  </si>
  <si>
    <t>Starting 2004, Molasses exports reflect the value of sales as reported by the industry,</t>
  </si>
  <si>
    <t>and not shipments as reported by SIB.</t>
  </si>
  <si>
    <t>and not shipments as reported by the SIB.</t>
  </si>
  <si>
    <t>Starting 1999, Citrus Juice exports reflect the value of sales as reported by the industry,</t>
  </si>
  <si>
    <t>Petroleum exports for the years 2006 and 2007 reflect actual sales as reported by BNE,</t>
  </si>
  <si>
    <t>thereafter, data reflects Geology Deptartment numbers as reported by the SIB.</t>
  </si>
  <si>
    <t>Export values for banana for the years 2007 and 2008 were adjusted to remove quota</t>
  </si>
  <si>
    <t>tariff cost.  Starting 2003, export values reflect actual sales as reported by the industry.</t>
  </si>
  <si>
    <t xml:space="preserve">Other Exports includes Belize's nontraditional exports including pepper sauce, oranges, </t>
  </si>
  <si>
    <t xml:space="preserve">orange and grapefruit oil, red kidney beans, black eye peas, pulp cells, animal feed, </t>
  </si>
  <si>
    <t>cornmeal, and sawn wood.</t>
  </si>
  <si>
    <t xml:space="preserve">Figures may not add up to total annual figurees as reported by annual report due to </t>
  </si>
  <si>
    <t>rounding off.</t>
  </si>
  <si>
    <t>2015</t>
  </si>
  <si>
    <t>2016</t>
  </si>
  <si>
    <t>2017</t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</si>
  <si>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- Revised</t>
    </r>
  </si>
  <si>
    <r>
      <rPr>
        <vertAlign val="superscript"/>
        <sz val="8"/>
        <rFont val="Arial"/>
        <family val="2"/>
      </rPr>
      <t>P</t>
    </r>
    <r>
      <rPr>
        <sz val="8"/>
        <rFont val="Arial"/>
        <family val="2"/>
      </rPr>
      <t xml:space="preserve"> - Provisional</t>
    </r>
  </si>
  <si>
    <t>2018</t>
  </si>
  <si>
    <t>Sources: SIB, BSI, BGA, CPBL, Geology Department and Shrimp Producers</t>
  </si>
  <si>
    <t>2022</t>
  </si>
  <si>
    <t>2023</t>
  </si>
  <si>
    <t>TABLE 40: COMPOSITION OF DOMESTIC 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</si>
</sst>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#,##0.0000_);\(#,##0.0000\)"/>
    <numFmt numFmtId="165" formatCode="#,##0.0000000_);\(#,##0.0000000\)"/>
    <numFmt numFmtId="166" formatCode="#,##0.000000_);\(#,##0.000000\)"/>
    <numFmt numFmtId="167" formatCode="#,##0.000_);\(#,##0.000\)"/>
    <numFmt numFmtId="168" formatCode="#,##0.000000000_);\(#,##0.000000000\)"/>
    <numFmt numFmtId="169" formatCode="#,##0.0000000000000000000_);\(#,##0.0000000000000000000\)"/>
    <numFmt numFmtId="170" formatCode="#,##0.000000000000000000000_);\(#,##0.000000000000000000000\)"/>
    <numFmt numFmtId="171" formatCode="_ * #,##0_)\ _P_t_s_ ;_ * \(#,##0\)\ _P_t_s_ ;_ * &quot;-&quot;_)\ _P_t_s_ ;_ @_ "/>
    <numFmt numFmtId="172" formatCode="_ * #,##0.00_)\ _P_t_s_ ;_ * \(#,##0.00\)\ _P_t_s_ ;_ * &quot;-&quot;??_)\ _P_t_s_ ;_ @_ "/>
    <numFmt numFmtId="173" formatCode="_ * #,##0_)\ &quot;Pts&quot;_ ;_ * \(#,##0\)\ &quot;Pts&quot;_ ;_ * &quot;-&quot;_)\ &quot;Pts&quot;_ ;_ @_ "/>
    <numFmt numFmtId="174" formatCode="_ * #,##0.00_)\ &quot;Pts&quot;_ ;_ * \(#,##0.00\)\ &quot;Pts&quot;_ ;_ * &quot;-&quot;??_)\ &quot;Pts&quot;_ ;_ @_ "/>
    <numFmt numFmtId="175" formatCode="\$#,##0.00\ ;\(\$#,##0.00\)"/>
    <numFmt numFmtId="176" formatCode="#,##0.00000_);\(#,##0.00000\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Courier"/>
      <family val="3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i/>
      <sz val="12"/>
      <color indexed="11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37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 applyNumberFormat="0"/>
    <xf numFmtId="0" fontId="9" fillId="0" borderId="0"/>
    <xf numFmtId="0" fontId="10" fillId="0" borderId="0" applyProtection="0"/>
    <xf numFmtId="175" fontId="10" fillId="0" borderId="0" applyProtection="0"/>
    <xf numFmtId="0" fontId="11" fillId="0" borderId="0" applyProtection="0"/>
    <xf numFmtId="0" fontId="12" fillId="0" borderId="0" applyProtection="0"/>
    <xf numFmtId="0" fontId="10" fillId="0" borderId="3" applyProtection="0"/>
    <xf numFmtId="0" fontId="10" fillId="0" borderId="0"/>
    <xf numFmtId="10" fontId="10" fillId="0" borderId="0" applyProtection="0"/>
    <xf numFmtId="0" fontId="10" fillId="0" borderId="0"/>
    <xf numFmtId="2" fontId="10" fillId="0" borderId="0" applyProtection="0"/>
    <xf numFmtId="4" fontId="10" fillId="0" borderId="0" applyProtection="0"/>
  </cellStyleXfs>
  <cellXfs count="59">
    <xf numFmtId="37" fontId="0" fillId="0" borderId="0" xfId="0"/>
    <xf numFmtId="37" fontId="2" fillId="0" borderId="0" xfId="0" applyFont="1"/>
    <xf numFmtId="37" fontId="3" fillId="0" borderId="0" xfId="0" applyFont="1"/>
    <xf numFmtId="37" fontId="5" fillId="0" borderId="1" xfId="0" applyFont="1" applyBorder="1" applyAlignment="1">
      <alignment horizontal="center"/>
    </xf>
    <xf numFmtId="37" fontId="4" fillId="0" borderId="0" xfId="0" applyFont="1"/>
    <xf numFmtId="37" fontId="5" fillId="0" borderId="2" xfId="0" applyFont="1" applyBorder="1" applyAlignment="1">
      <alignment horizontal="center"/>
    </xf>
    <xf numFmtId="39" fontId="2" fillId="0" borderId="0" xfId="0" applyNumberFormat="1" applyFont="1"/>
    <xf numFmtId="39" fontId="5" fillId="0" borderId="1" xfId="0" applyNumberFormat="1" applyFont="1" applyBorder="1" applyAlignment="1">
      <alignment horizontal="center"/>
    </xf>
    <xf numFmtId="39" fontId="6" fillId="0" borderId="0" xfId="0" applyNumberFormat="1" applyFont="1"/>
    <xf numFmtId="39" fontId="5" fillId="0" borderId="0" xfId="0" applyNumberFormat="1" applyFont="1"/>
    <xf numFmtId="39" fontId="0" fillId="0" borderId="0" xfId="0" applyNumberFormat="1"/>
    <xf numFmtId="170" fontId="4" fillId="0" borderId="0" xfId="0" applyNumberFormat="1" applyFont="1"/>
    <xf numFmtId="37" fontId="6" fillId="0" borderId="0" xfId="0" applyFont="1" applyAlignment="1">
      <alignment horizontal="right"/>
    </xf>
    <xf numFmtId="168" fontId="6" fillId="0" borderId="0" xfId="0" applyNumberFormat="1" applyFont="1"/>
    <xf numFmtId="39" fontId="5" fillId="0" borderId="2" xfId="0" quotePrefix="1" applyNumberFormat="1" applyFont="1" applyBorder="1" applyAlignment="1">
      <alignment horizontal="center"/>
    </xf>
    <xf numFmtId="169" fontId="4" fillId="0" borderId="0" xfId="0" applyNumberFormat="1" applyFont="1"/>
    <xf numFmtId="37" fontId="5" fillId="0" borderId="2" xfId="0" quotePrefix="1" applyFont="1" applyBorder="1" applyAlignment="1">
      <alignment horizontal="center"/>
    </xf>
    <xf numFmtId="37" fontId="6" fillId="0" borderId="0" xfId="0" applyFont="1"/>
    <xf numFmtId="165" fontId="6" fillId="0" borderId="0" xfId="0" applyNumberFormat="1" applyFont="1"/>
    <xf numFmtId="169" fontId="0" fillId="0" borderId="0" xfId="0" applyNumberFormat="1"/>
    <xf numFmtId="37" fontId="13" fillId="0" borderId="0" xfId="0" applyFont="1"/>
    <xf numFmtId="37" fontId="5" fillId="0" borderId="4" xfId="0" applyFont="1" applyBorder="1"/>
    <xf numFmtId="37" fontId="6" fillId="0" borderId="4" xfId="0" applyFont="1" applyBorder="1"/>
    <xf numFmtId="37" fontId="5" fillId="0" borderId="0" xfId="0" applyFont="1"/>
    <xf numFmtId="3" fontId="6" fillId="0" borderId="0" xfId="0" applyNumberFormat="1" applyFont="1" applyAlignment="1">
      <alignment horizontal="left"/>
    </xf>
    <xf numFmtId="37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0" fontId="5" fillId="0" borderId="4" xfId="0" quotePrefix="1" applyNumberFormat="1" applyFont="1" applyBorder="1" applyAlignment="1">
      <alignment horizontal="left"/>
    </xf>
    <xf numFmtId="37" fontId="6" fillId="0" borderId="4" xfId="0" applyFont="1" applyBorder="1" applyAlignment="1">
      <alignment horizontal="right"/>
    </xf>
    <xf numFmtId="39" fontId="5" fillId="0" borderId="4" xfId="0" applyNumberFormat="1" applyFont="1" applyBorder="1"/>
    <xf numFmtId="3" fontId="6" fillId="0" borderId="0" xfId="0" applyNumberFormat="1" applyFont="1"/>
    <xf numFmtId="167" fontId="6" fillId="0" borderId="0" xfId="0" applyNumberFormat="1" applyFont="1" applyAlignment="1">
      <alignment horizontal="right"/>
    </xf>
    <xf numFmtId="164" fontId="5" fillId="0" borderId="0" xfId="0" applyNumberFormat="1" applyFont="1"/>
    <xf numFmtId="166" fontId="5" fillId="0" borderId="0" xfId="0" applyNumberFormat="1" applyFont="1"/>
    <xf numFmtId="165" fontId="5" fillId="0" borderId="0" xfId="0" applyNumberFormat="1" applyFont="1"/>
    <xf numFmtId="168" fontId="5" fillId="0" borderId="0" xfId="0" applyNumberFormat="1" applyFont="1"/>
    <xf numFmtId="37" fontId="6" fillId="0" borderId="0" xfId="0" applyFont="1" applyAlignment="1">
      <alignment horizontal="left"/>
    </xf>
    <xf numFmtId="167" fontId="4" fillId="0" borderId="0" xfId="0" applyNumberFormat="1" applyFont="1"/>
    <xf numFmtId="37" fontId="14" fillId="0" borderId="0" xfId="0" quotePrefix="1" applyFont="1" applyAlignment="1">
      <alignment horizontal="right"/>
    </xf>
    <xf numFmtId="176" fontId="6" fillId="0" borderId="0" xfId="0" applyNumberFormat="1" applyFont="1"/>
    <xf numFmtId="37" fontId="13" fillId="0" borderId="0" xfId="0" applyFont="1" applyAlignment="1">
      <alignment horizontal="centerContinuous" vertical="center"/>
    </xf>
    <xf numFmtId="37" fontId="5" fillId="0" borderId="1" xfId="0" applyFont="1" applyBorder="1" applyAlignment="1">
      <alignment horizontal="center" vertical="center"/>
    </xf>
    <xf numFmtId="37" fontId="5" fillId="0" borderId="2" xfId="0" applyFont="1" applyBorder="1" applyAlignment="1">
      <alignment horizontal="center" vertical="center"/>
    </xf>
    <xf numFmtId="39" fontId="5" fillId="0" borderId="1" xfId="0" applyNumberFormat="1" applyFont="1" applyBorder="1" applyAlignment="1">
      <alignment horizontal="center" vertical="center"/>
    </xf>
    <xf numFmtId="39" fontId="5" fillId="0" borderId="2" xfId="0" quotePrefix="1" applyNumberFormat="1" applyFont="1" applyBorder="1" applyAlignment="1">
      <alignment horizontal="center" vertical="center"/>
    </xf>
    <xf numFmtId="37" fontId="16" fillId="2" borderId="0" xfId="0" applyFont="1" applyFill="1"/>
    <xf numFmtId="37" fontId="16" fillId="0" borderId="0" xfId="0" applyFont="1"/>
    <xf numFmtId="37" fontId="5" fillId="0" borderId="0" xfId="0" applyFont="1" applyAlignment="1">
      <alignment horizontal="right"/>
    </xf>
    <xf numFmtId="37" fontId="5" fillId="0" borderId="0" xfId="0" quotePrefix="1" applyFont="1" applyAlignment="1">
      <alignment horizontal="left"/>
    </xf>
    <xf numFmtId="37" fontId="16" fillId="2" borderId="0" xfId="0" applyFont="1" applyFill="1" applyAlignment="1">
      <alignment horizontal="left" wrapText="1"/>
    </xf>
    <xf numFmtId="37" fontId="16" fillId="2" borderId="0" xfId="0" applyFont="1" applyFill="1" applyAlignment="1">
      <alignment horizontal="left"/>
    </xf>
    <xf numFmtId="37" fontId="16" fillId="2" borderId="0" xfId="0" applyFont="1" applyFill="1" applyAlignment="1">
      <alignment horizontal="justify"/>
    </xf>
    <xf numFmtId="167" fontId="0" fillId="0" borderId="0" xfId="0" applyNumberFormat="1"/>
    <xf numFmtId="0" fontId="6" fillId="0" borderId="0" xfId="0" quotePrefix="1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37" fontId="13" fillId="0" borderId="0" xfId="0" applyFont="1" applyAlignment="1">
      <alignment horizontal="center" vertical="center"/>
    </xf>
    <xf numFmtId="37" fontId="16" fillId="2" borderId="0" xfId="0" applyFont="1" applyFill="1" applyAlignment="1">
      <alignment horizontal="left" wrapText="1"/>
    </xf>
    <xf numFmtId="37" fontId="15" fillId="2" borderId="0" xfId="0" applyFont="1" applyFill="1" applyAlignment="1">
      <alignment horizontal="center"/>
    </xf>
  </cellXfs>
  <cellStyles count="30">
    <cellStyle name="Comma 2" xfId="3" xr:uid="{00000000-0005-0000-0000-000000000000}"/>
    <cellStyle name="Comma 3" xfId="4" xr:uid="{00000000-0005-0000-0000-000001000000}"/>
    <cellStyle name="Comma 4" xfId="5" xr:uid="{00000000-0005-0000-0000-000002000000}"/>
    <cellStyle name="Comma 5" xfId="6" xr:uid="{00000000-0005-0000-0000-000003000000}"/>
    <cellStyle name="Comma 6" xfId="2" xr:uid="{00000000-0005-0000-0000-000004000000}"/>
    <cellStyle name="Millares [0]_BPCOLOMBIA" xfId="7" xr:uid="{00000000-0005-0000-0000-000005000000}"/>
    <cellStyle name="Millares_BPCOLOMBIA" xfId="8" xr:uid="{00000000-0005-0000-0000-000006000000}"/>
    <cellStyle name="Moneda [0]_BPCOLOMBIA" xfId="9" xr:uid="{00000000-0005-0000-0000-000007000000}"/>
    <cellStyle name="Moneda_BPCOLOMBIA" xfId="10" xr:uid="{00000000-0005-0000-0000-000008000000}"/>
    <cellStyle name="Normal" xfId="0" builtinId="0"/>
    <cellStyle name="Normal 2" xfId="11" xr:uid="{00000000-0005-0000-0000-00000A000000}"/>
    <cellStyle name="Normal 2 2" xfId="12" xr:uid="{00000000-0005-0000-0000-00000B000000}"/>
    <cellStyle name="Normal 2_Monthly BOP 2012" xfId="13" xr:uid="{00000000-0005-0000-0000-00000C000000}"/>
    <cellStyle name="Normal 3" xfId="14" xr:uid="{00000000-0005-0000-0000-00000D000000}"/>
    <cellStyle name="Normal 4" xfId="15" xr:uid="{00000000-0005-0000-0000-00000E000000}"/>
    <cellStyle name="Normal 5" xfId="16" xr:uid="{00000000-0005-0000-0000-00000F000000}"/>
    <cellStyle name="Normal 6" xfId="1" xr:uid="{00000000-0005-0000-0000-000010000000}"/>
    <cellStyle name="Style 1" xfId="17" xr:uid="{00000000-0005-0000-0000-000011000000}"/>
    <cellStyle name="Text" xfId="18" xr:uid="{00000000-0005-0000-0000-000012000000}"/>
    <cellStyle name="Total - Style1" xfId="19" xr:uid="{00000000-0005-0000-0000-000013000000}"/>
    <cellStyle name="ДАТА" xfId="20" xr:uid="{00000000-0005-0000-0000-000014000000}"/>
    <cellStyle name="ДЕНЕЖНЫЙ_BOPENGC" xfId="21" xr:uid="{00000000-0005-0000-0000-000015000000}"/>
    <cellStyle name="ЗАГОЛОВОК1" xfId="22" xr:uid="{00000000-0005-0000-0000-000016000000}"/>
    <cellStyle name="ЗАГОЛОВОК2" xfId="23" xr:uid="{00000000-0005-0000-0000-000017000000}"/>
    <cellStyle name="ИТОГОВЫЙ" xfId="24" xr:uid="{00000000-0005-0000-0000-000018000000}"/>
    <cellStyle name="Обычный_BOPENGC" xfId="25" xr:uid="{00000000-0005-0000-0000-000019000000}"/>
    <cellStyle name="ПРОЦЕНТНЫЙ_BOPENGC" xfId="26" xr:uid="{00000000-0005-0000-0000-00001A000000}"/>
    <cellStyle name="ТЕКСТ" xfId="27" xr:uid="{00000000-0005-0000-0000-00001B000000}"/>
    <cellStyle name="ФИКСИРОВАННЫЙ" xfId="28" xr:uid="{00000000-0005-0000-0000-00001C000000}"/>
    <cellStyle name="ФИНАНСОВЫЙ_BOPENGC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earch2\Real%20Sector\Asycuda%20Domestic%20Expor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Working%20Files\molasses%20adjust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Working%20Files\Banana%20adjust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Citrus%20Exports%20Timing%20Adjust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ign%20Trade%20&amp;%20Payments\Working%20Files\Shrimp%20export%20adjustmen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Real%20Sector\Asycuda%20Domestic%20Ex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Citrus%20Exports%20Timing%20Adjust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molasses%20adjustm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sycud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Shrimp%20export%20adjustme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BN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2502X824\Foreign%20Trade%20&amp;%20Payments\Working%20Files\Banana%20adjust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al%20Sector\Asycuda%20Domestic%20Ex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4256898</v>
          </cell>
        </row>
        <row r="114">
          <cell r="E114">
            <v>4007853.7299999995</v>
          </cell>
          <cell r="F114">
            <v>3868238.1400000155</v>
          </cell>
          <cell r="G114">
            <v>5430792.2400000002</v>
          </cell>
          <cell r="H114">
            <v>2160676.2599999583</v>
          </cell>
          <cell r="I114">
            <v>2412587.4899999453</v>
          </cell>
          <cell r="J114">
            <v>6926321.9699999997</v>
          </cell>
          <cell r="K114">
            <v>8916666</v>
          </cell>
          <cell r="L114">
            <v>3480751</v>
          </cell>
          <cell r="M114">
            <v>3059314</v>
          </cell>
        </row>
      </sheetData>
      <sheetData sheetId="4" refreshError="1"/>
      <sheetData sheetId="5" refreshError="1">
        <row r="8">
          <cell r="B8">
            <v>4074096</v>
          </cell>
        </row>
        <row r="12">
          <cell r="H12">
            <v>3150826</v>
          </cell>
          <cell r="I12">
            <v>13219749</v>
          </cell>
          <cell r="J12">
            <v>172800</v>
          </cell>
          <cell r="K12">
            <v>172800</v>
          </cell>
          <cell r="L12">
            <v>105400</v>
          </cell>
          <cell r="M1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3">
          <cell r="B93">
            <v>388.60626999999999</v>
          </cell>
          <cell r="C93">
            <v>743.10852999999997</v>
          </cell>
          <cell r="D93">
            <v>900.37783999999999</v>
          </cell>
          <cell r="E93">
            <v>836.60120000000006</v>
          </cell>
          <cell r="F93">
            <v>930.37079999999992</v>
          </cell>
          <cell r="G93">
            <v>1158.0800699999998</v>
          </cell>
          <cell r="H93">
            <v>1061.3206400000001</v>
          </cell>
          <cell r="I93">
            <v>733.21738999999991</v>
          </cell>
          <cell r="J93">
            <v>711.82590999999991</v>
          </cell>
          <cell r="K93">
            <v>1095.1281799999999</v>
          </cell>
          <cell r="L93">
            <v>1044.8706500000001</v>
          </cell>
          <cell r="M93">
            <v>511.60347999999999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-2006"/>
      <sheetName val="2007"/>
      <sheetName val="2008"/>
      <sheetName val="2009"/>
      <sheetName val="2010"/>
      <sheetName val="2011"/>
      <sheetName val="2012"/>
      <sheetName val="2013"/>
      <sheetName val="2014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4">
          <cell r="B4">
            <v>690972</v>
          </cell>
          <cell r="C4">
            <v>0</v>
          </cell>
          <cell r="D4">
            <v>0</v>
          </cell>
          <cell r="F4">
            <v>1413894</v>
          </cell>
          <cell r="G4">
            <v>0</v>
          </cell>
          <cell r="H4">
            <v>0</v>
          </cell>
          <cell r="I4">
            <v>1044410.0000000001</v>
          </cell>
          <cell r="J4">
            <v>0</v>
          </cell>
          <cell r="K4">
            <v>0</v>
          </cell>
          <cell r="L4">
            <v>0</v>
          </cell>
          <cell r="M4">
            <v>718724</v>
          </cell>
        </row>
      </sheetData>
      <sheetData sheetId="4" refreshError="1">
        <row r="4">
          <cell r="B4">
            <v>0</v>
          </cell>
          <cell r="C4">
            <v>0</v>
          </cell>
          <cell r="D4">
            <v>893310</v>
          </cell>
          <cell r="H4">
            <v>501184</v>
          </cell>
          <cell r="I4">
            <v>550000</v>
          </cell>
          <cell r="J4">
            <v>993103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</sheetNames>
    <sheetDataSet>
      <sheetData sheetId="0" refreshError="1"/>
      <sheetData sheetId="1" refreshError="1"/>
      <sheetData sheetId="2" refreshError="1">
        <row r="4">
          <cell r="B4">
            <v>5313293.66</v>
          </cell>
          <cell r="C4">
            <v>5088221.16</v>
          </cell>
          <cell r="D4">
            <v>4494743.68</v>
          </cell>
          <cell r="E4">
            <v>5752267.6999999993</v>
          </cell>
          <cell r="F4">
            <v>6899905.7800000003</v>
          </cell>
          <cell r="G4">
            <v>6874886.6799999997</v>
          </cell>
          <cell r="H4">
            <v>6039169.7999999998</v>
          </cell>
          <cell r="I4">
            <v>6567671.3399999999</v>
          </cell>
          <cell r="J4">
            <v>5182182.6400000006</v>
          </cell>
          <cell r="K4">
            <v>5163968.7</v>
          </cell>
          <cell r="L4">
            <v>5384233.2300000004</v>
          </cell>
          <cell r="M4">
            <v>4098310.42</v>
          </cell>
        </row>
      </sheetData>
      <sheetData sheetId="3" refreshError="1">
        <row r="4">
          <cell r="B4">
            <v>5315944.92</v>
          </cell>
          <cell r="C4">
            <v>7398503.4199999999</v>
          </cell>
          <cell r="D4">
            <v>5425597.5</v>
          </cell>
          <cell r="E4">
            <v>5831640.7799999993</v>
          </cell>
          <cell r="F4">
            <v>8690963.8599999994</v>
          </cell>
          <cell r="G4">
            <v>6356961.96</v>
          </cell>
          <cell r="H4">
            <v>4254958.22</v>
          </cell>
          <cell r="I4">
            <v>5720491.0800000001</v>
          </cell>
          <cell r="J4">
            <v>5862321</v>
          </cell>
          <cell r="K4">
            <v>6062319.5600000005</v>
          </cell>
          <cell r="L4">
            <v>7048814.1600000001</v>
          </cell>
          <cell r="M4">
            <v>3674816.5599999996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B17">
            <v>4539471</v>
          </cell>
          <cell r="C17">
            <v>4259629</v>
          </cell>
          <cell r="D17">
            <v>5983782</v>
          </cell>
          <cell r="E17">
            <v>5164081</v>
          </cell>
          <cell r="F17">
            <v>7747537</v>
          </cell>
          <cell r="G17">
            <v>7694717</v>
          </cell>
          <cell r="H17">
            <v>4778760</v>
          </cell>
          <cell r="I17">
            <v>7847484</v>
          </cell>
          <cell r="J17">
            <v>8099804</v>
          </cell>
          <cell r="K17">
            <v>4962763</v>
          </cell>
          <cell r="L17">
            <v>7394549</v>
          </cell>
          <cell r="M17">
            <v>5516894</v>
          </cell>
        </row>
      </sheetData>
      <sheetData sheetId="8" refreshError="1">
        <row r="17">
          <cell r="B17">
            <v>6786029</v>
          </cell>
          <cell r="C17">
            <v>10422861</v>
          </cell>
          <cell r="D17">
            <v>9128504</v>
          </cell>
          <cell r="E17">
            <v>13464194</v>
          </cell>
          <cell r="F17">
            <v>9053286</v>
          </cell>
          <cell r="G17">
            <v>6599208</v>
          </cell>
          <cell r="H17">
            <v>10713744</v>
          </cell>
          <cell r="I17">
            <v>8785008</v>
          </cell>
          <cell r="J17">
            <v>6005399</v>
          </cell>
          <cell r="K17">
            <v>4843991</v>
          </cell>
          <cell r="L17">
            <v>3509450</v>
          </cell>
          <cell r="M17">
            <v>4371945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G11">
            <v>8222359.7400000002</v>
          </cell>
          <cell r="O11">
            <v>7169164.3200000003</v>
          </cell>
          <cell r="Q11">
            <v>5901806.1199999982</v>
          </cell>
          <cell r="S11">
            <v>1122519.3500000015</v>
          </cell>
          <cell r="U11">
            <v>435647.57199999876</v>
          </cell>
          <cell r="W11">
            <v>1684275.42</v>
          </cell>
          <cell r="Y11">
            <v>2711016.6720000003</v>
          </cell>
          <cell r="AA11">
            <v>2932270.5</v>
          </cell>
          <cell r="AC11">
            <v>-208978.62999999896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B12">
            <v>1585031</v>
          </cell>
          <cell r="C12">
            <v>17693530</v>
          </cell>
          <cell r="D12">
            <v>11712742</v>
          </cell>
          <cell r="E12">
            <v>8940766</v>
          </cell>
          <cell r="F12">
            <v>34741970</v>
          </cell>
          <cell r="G12">
            <v>2288017</v>
          </cell>
          <cell r="H12">
            <v>18753007</v>
          </cell>
          <cell r="I12">
            <v>1680355</v>
          </cell>
          <cell r="J12">
            <v>1242495</v>
          </cell>
          <cell r="K12">
            <v>723250</v>
          </cell>
          <cell r="L12">
            <v>208800</v>
          </cell>
          <cell r="M12">
            <v>495100</v>
          </cell>
        </row>
        <row r="32">
          <cell r="B32">
            <v>4441689</v>
          </cell>
          <cell r="C32">
            <v>3416784</v>
          </cell>
          <cell r="D32">
            <v>3325117</v>
          </cell>
          <cell r="E32">
            <v>2750887</v>
          </cell>
          <cell r="F32">
            <v>3448941</v>
          </cell>
          <cell r="G32">
            <v>2781807</v>
          </cell>
          <cell r="H32">
            <v>3176968</v>
          </cell>
          <cell r="I32">
            <v>2316577</v>
          </cell>
          <cell r="J32">
            <v>2349979</v>
          </cell>
          <cell r="K32">
            <v>3143111</v>
          </cell>
          <cell r="L32">
            <v>3108258</v>
          </cell>
          <cell r="M32">
            <v>2332553</v>
          </cell>
        </row>
        <row r="44">
          <cell r="E44">
            <v>5150311.0478499997</v>
          </cell>
          <cell r="F44">
            <v>10776995.197525</v>
          </cell>
          <cell r="G44">
            <v>9196337.375</v>
          </cell>
          <cell r="H44">
            <v>11166160</v>
          </cell>
          <cell r="I44">
            <v>7360445.6889249999</v>
          </cell>
          <cell r="J44">
            <v>10872153.338424999</v>
          </cell>
          <cell r="K44">
            <v>9687447.5196000002</v>
          </cell>
          <cell r="L44">
            <v>4381076</v>
          </cell>
          <cell r="M44">
            <v>9334443.5053000003</v>
          </cell>
        </row>
      </sheetData>
      <sheetData sheetId="9" refreshError="1">
        <row r="8">
          <cell r="B8">
            <v>6944983</v>
          </cell>
          <cell r="C8">
            <v>5400488</v>
          </cell>
          <cell r="D8">
            <v>7685557</v>
          </cell>
          <cell r="E8">
            <v>7449754</v>
          </cell>
          <cell r="F8">
            <v>5073308</v>
          </cell>
          <cell r="G8">
            <v>6729229</v>
          </cell>
          <cell r="H8">
            <v>10104037</v>
          </cell>
          <cell r="I8">
            <v>9124841</v>
          </cell>
          <cell r="J8">
            <v>8650030</v>
          </cell>
          <cell r="K8">
            <v>14069130</v>
          </cell>
          <cell r="L8">
            <v>9354281</v>
          </cell>
          <cell r="M8">
            <v>7535285</v>
          </cell>
        </row>
        <row r="12">
          <cell r="B12">
            <v>13137858</v>
          </cell>
          <cell r="C12">
            <v>8978856</v>
          </cell>
          <cell r="D12">
            <v>5215645</v>
          </cell>
          <cell r="E12">
            <v>2824491</v>
          </cell>
          <cell r="F12">
            <v>4201973</v>
          </cell>
          <cell r="G12">
            <v>9201945</v>
          </cell>
          <cell r="H12">
            <v>8564376</v>
          </cell>
          <cell r="I12">
            <v>7972009</v>
          </cell>
          <cell r="J12">
            <v>8260484</v>
          </cell>
          <cell r="K12">
            <v>279900</v>
          </cell>
          <cell r="L12">
            <v>270800</v>
          </cell>
          <cell r="M12">
            <v>991090.26</v>
          </cell>
        </row>
        <row r="16">
          <cell r="B16">
            <v>0</v>
          </cell>
          <cell r="C16">
            <v>0</v>
          </cell>
          <cell r="D16">
            <v>465031</v>
          </cell>
          <cell r="E16">
            <v>771230</v>
          </cell>
          <cell r="F16">
            <v>463332</v>
          </cell>
          <cell r="G16">
            <v>462130</v>
          </cell>
          <cell r="H16">
            <v>671</v>
          </cell>
          <cell r="I16">
            <v>657334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8">
          <cell r="B28">
            <v>3723795</v>
          </cell>
          <cell r="C28">
            <v>3056693</v>
          </cell>
          <cell r="D28">
            <v>3857137</v>
          </cell>
          <cell r="E28">
            <v>5582104</v>
          </cell>
          <cell r="F28">
            <v>4372730</v>
          </cell>
          <cell r="G28">
            <v>5718431</v>
          </cell>
          <cell r="H28">
            <v>3787363</v>
          </cell>
          <cell r="I28">
            <v>3690283</v>
          </cell>
          <cell r="J28">
            <v>4616361</v>
          </cell>
          <cell r="K28">
            <v>4263485</v>
          </cell>
          <cell r="L28">
            <v>3489837</v>
          </cell>
          <cell r="M28">
            <v>3709071</v>
          </cell>
        </row>
        <row r="32">
          <cell r="B32">
            <v>3209491</v>
          </cell>
          <cell r="C32">
            <v>3088087</v>
          </cell>
          <cell r="D32">
            <v>2374101</v>
          </cell>
          <cell r="E32">
            <v>2879335</v>
          </cell>
          <cell r="F32">
            <v>2665603</v>
          </cell>
          <cell r="G32">
            <v>3295662</v>
          </cell>
          <cell r="H32">
            <v>2819664</v>
          </cell>
          <cell r="I32">
            <v>3889079</v>
          </cell>
          <cell r="J32">
            <v>3397306</v>
          </cell>
          <cell r="K32">
            <v>2731527</v>
          </cell>
          <cell r="L32">
            <v>2782722</v>
          </cell>
          <cell r="M32">
            <v>1423288</v>
          </cell>
        </row>
        <row r="40">
          <cell r="B40">
            <v>1884470</v>
          </cell>
          <cell r="C40">
            <v>1794049</v>
          </cell>
          <cell r="D40">
            <v>3314170</v>
          </cell>
          <cell r="E40">
            <v>2578859</v>
          </cell>
          <cell r="F40">
            <v>2032621</v>
          </cell>
          <cell r="G40">
            <v>2493449</v>
          </cell>
          <cell r="H40">
            <v>2393416</v>
          </cell>
          <cell r="I40">
            <v>1589620</v>
          </cell>
          <cell r="J40">
            <v>2183685</v>
          </cell>
          <cell r="K40">
            <v>2398653</v>
          </cell>
          <cell r="L40">
            <v>2287139</v>
          </cell>
          <cell r="M40">
            <v>1906766</v>
          </cell>
        </row>
        <row r="111">
          <cell r="B111">
            <v>3487112</v>
          </cell>
          <cell r="C111">
            <v>4577183</v>
          </cell>
          <cell r="D111">
            <v>2375257</v>
          </cell>
          <cell r="E111">
            <v>3099685</v>
          </cell>
          <cell r="F111">
            <v>2559135</v>
          </cell>
          <cell r="G111">
            <v>2705493</v>
          </cell>
          <cell r="H111">
            <v>2990063</v>
          </cell>
          <cell r="I111">
            <v>4111069</v>
          </cell>
          <cell r="J111">
            <v>1707952</v>
          </cell>
          <cell r="K111">
            <v>2361943.5</v>
          </cell>
          <cell r="L111">
            <v>1240814.6000000001</v>
          </cell>
          <cell r="M111">
            <v>1681509.15</v>
          </cell>
        </row>
      </sheetData>
      <sheetData sheetId="10" refreshError="1">
        <row r="8">
          <cell r="B8">
            <v>7997840</v>
          </cell>
          <cell r="C8">
            <v>8075099</v>
          </cell>
          <cell r="D8">
            <v>7942464</v>
          </cell>
          <cell r="E8">
            <v>3164374</v>
          </cell>
          <cell r="F8">
            <v>3371602</v>
          </cell>
          <cell r="G8">
            <v>8241166</v>
          </cell>
          <cell r="H8">
            <v>11481437</v>
          </cell>
          <cell r="I8">
            <v>11496067</v>
          </cell>
          <cell r="J8">
            <v>12510924</v>
          </cell>
          <cell r="K8">
            <v>10339366</v>
          </cell>
          <cell r="L8">
            <v>13559022</v>
          </cell>
          <cell r="M8">
            <v>9192563</v>
          </cell>
        </row>
        <row r="12">
          <cell r="B12">
            <v>4153475</v>
          </cell>
          <cell r="C12">
            <v>17213431</v>
          </cell>
          <cell r="D12">
            <v>9848430</v>
          </cell>
          <cell r="E12">
            <v>2272493</v>
          </cell>
          <cell r="F12">
            <v>3721472</v>
          </cell>
          <cell r="G12">
            <v>16130359</v>
          </cell>
          <cell r="H12">
            <v>8042412</v>
          </cell>
          <cell r="I12">
            <v>12037529</v>
          </cell>
          <cell r="J12">
            <v>4930532</v>
          </cell>
          <cell r="K12">
            <v>1665295</v>
          </cell>
          <cell r="L12">
            <v>767348</v>
          </cell>
          <cell r="M12">
            <v>751398</v>
          </cell>
        </row>
        <row r="28">
          <cell r="B28">
            <v>3604193</v>
          </cell>
          <cell r="C28">
            <v>4216569</v>
          </cell>
          <cell r="D28">
            <v>4239426</v>
          </cell>
          <cell r="E28">
            <v>6357395</v>
          </cell>
          <cell r="F28">
            <v>5629812</v>
          </cell>
          <cell r="G28">
            <v>6421401</v>
          </cell>
          <cell r="H28">
            <v>3817937</v>
          </cell>
          <cell r="I28">
            <v>3724639</v>
          </cell>
          <cell r="J28">
            <v>4808895</v>
          </cell>
          <cell r="K28">
            <v>3413173</v>
          </cell>
          <cell r="L28">
            <v>3427929</v>
          </cell>
          <cell r="M28">
            <v>3329903</v>
          </cell>
        </row>
        <row r="32">
          <cell r="B32">
            <v>2414166</v>
          </cell>
          <cell r="C32">
            <v>2540099</v>
          </cell>
          <cell r="D32">
            <v>2648157</v>
          </cell>
          <cell r="E32">
            <v>2909183</v>
          </cell>
          <cell r="F32">
            <v>2802444</v>
          </cell>
          <cell r="G32">
            <v>3590902</v>
          </cell>
          <cell r="H32">
            <v>4320742</v>
          </cell>
          <cell r="I32">
            <v>3293981</v>
          </cell>
          <cell r="J32">
            <v>3167455</v>
          </cell>
          <cell r="K32">
            <v>3441019</v>
          </cell>
          <cell r="L32">
            <v>3267195</v>
          </cell>
          <cell r="M32">
            <v>2707391</v>
          </cell>
        </row>
        <row r="40">
          <cell r="B40">
            <v>1345471</v>
          </cell>
          <cell r="C40">
            <v>1189679</v>
          </cell>
          <cell r="D40">
            <v>2068983</v>
          </cell>
          <cell r="E40">
            <v>1906621</v>
          </cell>
          <cell r="F40">
            <v>1985815</v>
          </cell>
          <cell r="G40">
            <v>2220853</v>
          </cell>
          <cell r="H40">
            <v>2242829</v>
          </cell>
          <cell r="I40">
            <v>1681104</v>
          </cell>
          <cell r="J40">
            <v>1933435</v>
          </cell>
          <cell r="K40">
            <v>1876497</v>
          </cell>
          <cell r="L40">
            <v>2038442</v>
          </cell>
          <cell r="M40">
            <v>2328629</v>
          </cell>
        </row>
        <row r="111">
          <cell r="B111">
            <v>2380750</v>
          </cell>
          <cell r="C111">
            <v>1380319</v>
          </cell>
          <cell r="D111">
            <v>544168</v>
          </cell>
          <cell r="E111">
            <v>2454001</v>
          </cell>
          <cell r="F111">
            <v>1421282.8</v>
          </cell>
          <cell r="G111">
            <v>1784557</v>
          </cell>
          <cell r="H111">
            <v>1527603</v>
          </cell>
          <cell r="I111">
            <v>1303999</v>
          </cell>
          <cell r="J111">
            <v>1861409</v>
          </cell>
          <cell r="K111">
            <v>1614454</v>
          </cell>
          <cell r="L111">
            <v>1380001</v>
          </cell>
          <cell r="M111">
            <v>2591955</v>
          </cell>
        </row>
      </sheetData>
      <sheetData sheetId="11" refreshError="1">
        <row r="9">
          <cell r="B9">
            <v>10041081</v>
          </cell>
          <cell r="C9">
            <v>5465970</v>
          </cell>
          <cell r="D9">
            <v>2634426</v>
          </cell>
          <cell r="E9">
            <v>3146184</v>
          </cell>
          <cell r="F9">
            <v>7180596</v>
          </cell>
          <cell r="G9">
            <v>9091797</v>
          </cell>
          <cell r="H9">
            <v>18103574</v>
          </cell>
          <cell r="I9">
            <v>18210379</v>
          </cell>
          <cell r="J9">
            <v>12131556</v>
          </cell>
          <cell r="K9">
            <v>10113979</v>
          </cell>
          <cell r="L9">
            <v>6369702</v>
          </cell>
          <cell r="M9">
            <v>7667528</v>
          </cell>
        </row>
        <row r="13">
          <cell r="B13">
            <v>1545148</v>
          </cell>
          <cell r="C13">
            <v>29160848</v>
          </cell>
          <cell r="D13">
            <v>1364261</v>
          </cell>
          <cell r="E13">
            <v>5470605</v>
          </cell>
          <cell r="F13">
            <v>1183554</v>
          </cell>
          <cell r="G13">
            <v>18205804</v>
          </cell>
          <cell r="H13">
            <v>10242583</v>
          </cell>
          <cell r="I13">
            <v>12600</v>
          </cell>
          <cell r="J13">
            <v>2799574</v>
          </cell>
          <cell r="K13">
            <v>0</v>
          </cell>
          <cell r="L13">
            <v>21087</v>
          </cell>
          <cell r="M13">
            <v>1220839</v>
          </cell>
        </row>
        <row r="17">
          <cell r="B17">
            <v>0</v>
          </cell>
          <cell r="C17">
            <v>0</v>
          </cell>
          <cell r="D17">
            <v>661693</v>
          </cell>
          <cell r="E17">
            <v>0</v>
          </cell>
          <cell r="F17">
            <v>636087</v>
          </cell>
          <cell r="G17">
            <v>9954</v>
          </cell>
          <cell r="H17">
            <v>498171</v>
          </cell>
          <cell r="I17">
            <v>670078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9">
          <cell r="B29">
            <v>6669056</v>
          </cell>
          <cell r="C29">
            <v>5325043</v>
          </cell>
          <cell r="D29">
            <v>5054673</v>
          </cell>
          <cell r="E29">
            <v>4462591</v>
          </cell>
          <cell r="F29">
            <v>3650828</v>
          </cell>
          <cell r="G29">
            <v>3711036</v>
          </cell>
          <cell r="H29">
            <v>3651522</v>
          </cell>
          <cell r="I29">
            <v>4017769</v>
          </cell>
          <cell r="J29">
            <v>4264314</v>
          </cell>
          <cell r="K29">
            <v>5125884</v>
          </cell>
          <cell r="L29">
            <v>3664928</v>
          </cell>
          <cell r="M29">
            <v>2981568</v>
          </cell>
        </row>
        <row r="33">
          <cell r="B33">
            <v>3089217</v>
          </cell>
          <cell r="C33">
            <v>2922114</v>
          </cell>
          <cell r="D33">
            <v>2115710</v>
          </cell>
          <cell r="E33">
            <v>2227378</v>
          </cell>
          <cell r="F33">
            <v>2765005</v>
          </cell>
          <cell r="G33">
            <v>2827337</v>
          </cell>
          <cell r="H33">
            <v>2827014</v>
          </cell>
          <cell r="I33">
            <v>2170120</v>
          </cell>
          <cell r="J33">
            <v>2934339</v>
          </cell>
          <cell r="K33">
            <v>3012541</v>
          </cell>
          <cell r="L33">
            <v>2233112</v>
          </cell>
          <cell r="M33">
            <v>1745875</v>
          </cell>
        </row>
        <row r="41">
          <cell r="B41">
            <v>1314389</v>
          </cell>
          <cell r="C41">
            <v>966151</v>
          </cell>
          <cell r="D41">
            <v>1684851</v>
          </cell>
          <cell r="E41">
            <v>1823781</v>
          </cell>
          <cell r="F41">
            <v>1388183</v>
          </cell>
          <cell r="G41">
            <v>1743812</v>
          </cell>
          <cell r="H41">
            <v>1848251</v>
          </cell>
          <cell r="I41">
            <v>1112726</v>
          </cell>
          <cell r="J41">
            <v>921945</v>
          </cell>
          <cell r="K41">
            <v>1501278</v>
          </cell>
          <cell r="L41">
            <v>1356425</v>
          </cell>
          <cell r="M41">
            <v>1090551</v>
          </cell>
        </row>
        <row r="112">
          <cell r="B112">
            <v>817389</v>
          </cell>
          <cell r="C112">
            <v>1490341</v>
          </cell>
          <cell r="D112">
            <v>916220</v>
          </cell>
          <cell r="E112">
            <v>2034579</v>
          </cell>
          <cell r="F112">
            <v>1201512</v>
          </cell>
          <cell r="G112">
            <v>1077260</v>
          </cell>
          <cell r="H112">
            <v>1507522</v>
          </cell>
          <cell r="I112">
            <v>437691</v>
          </cell>
          <cell r="J112">
            <v>879444</v>
          </cell>
          <cell r="K112">
            <v>1334601</v>
          </cell>
          <cell r="L112">
            <v>1073064</v>
          </cell>
          <cell r="M112">
            <v>1103400</v>
          </cell>
        </row>
      </sheetData>
      <sheetData sheetId="12" refreshError="1">
        <row r="9">
          <cell r="B9">
            <v>2016942</v>
          </cell>
          <cell r="C9">
            <v>3363146</v>
          </cell>
          <cell r="D9">
            <v>1250213</v>
          </cell>
          <cell r="E9">
            <v>927868</v>
          </cell>
          <cell r="F9">
            <v>1135607</v>
          </cell>
          <cell r="G9">
            <v>3780455</v>
          </cell>
          <cell r="H9">
            <v>4773881</v>
          </cell>
          <cell r="I9">
            <v>9081650</v>
          </cell>
          <cell r="J9">
            <v>12508691</v>
          </cell>
          <cell r="K9">
            <v>8185013</v>
          </cell>
          <cell r="L9">
            <v>12832273</v>
          </cell>
          <cell r="M9">
            <v>9965116</v>
          </cell>
        </row>
        <row r="13">
          <cell r="B13">
            <v>10554633</v>
          </cell>
          <cell r="C13">
            <v>9483054</v>
          </cell>
          <cell r="D13">
            <v>4773552</v>
          </cell>
          <cell r="E13">
            <v>3274681</v>
          </cell>
          <cell r="F13">
            <v>1405949</v>
          </cell>
          <cell r="G13">
            <v>7557194</v>
          </cell>
          <cell r="H13">
            <v>15923123</v>
          </cell>
          <cell r="I13">
            <v>11896742</v>
          </cell>
          <cell r="J13">
            <v>661808</v>
          </cell>
          <cell r="K13">
            <v>233050</v>
          </cell>
          <cell r="L13">
            <v>123750</v>
          </cell>
          <cell r="M13">
            <v>93800</v>
          </cell>
        </row>
        <row r="17">
          <cell r="B17">
            <v>0</v>
          </cell>
          <cell r="C17">
            <v>0</v>
          </cell>
          <cell r="D17">
            <v>488898</v>
          </cell>
          <cell r="E17">
            <v>391999</v>
          </cell>
          <cell r="F17">
            <v>0</v>
          </cell>
          <cell r="G17">
            <v>798418</v>
          </cell>
          <cell r="H17">
            <v>470104</v>
          </cell>
          <cell r="I17">
            <v>0</v>
          </cell>
          <cell r="J17">
            <v>0</v>
          </cell>
          <cell r="K17">
            <v>528613</v>
          </cell>
          <cell r="L17">
            <v>0</v>
          </cell>
          <cell r="M17">
            <v>0</v>
          </cell>
        </row>
        <row r="29">
          <cell r="B29">
            <v>35735</v>
          </cell>
          <cell r="C29">
            <v>328917</v>
          </cell>
          <cell r="D29">
            <v>514428</v>
          </cell>
          <cell r="E29">
            <v>1047882</v>
          </cell>
          <cell r="F29">
            <v>3816488</v>
          </cell>
          <cell r="G29">
            <v>5956684</v>
          </cell>
          <cell r="H29">
            <v>5804354</v>
          </cell>
          <cell r="I29">
            <v>3320190</v>
          </cell>
          <cell r="J29">
            <v>2563574</v>
          </cell>
          <cell r="K29">
            <v>2919159</v>
          </cell>
          <cell r="L29">
            <v>3358878</v>
          </cell>
          <cell r="M29">
            <v>3881389</v>
          </cell>
        </row>
        <row r="33">
          <cell r="B33">
            <v>2942346</v>
          </cell>
          <cell r="C33">
            <v>2734661</v>
          </cell>
          <cell r="D33">
            <v>1830065</v>
          </cell>
          <cell r="E33">
            <v>3689134</v>
          </cell>
          <cell r="F33">
            <v>2476240</v>
          </cell>
          <cell r="G33">
            <v>3403901</v>
          </cell>
          <cell r="H33">
            <v>2618436</v>
          </cell>
          <cell r="I33">
            <v>2485840</v>
          </cell>
          <cell r="J33">
            <v>1919346</v>
          </cell>
          <cell r="K33">
            <v>2387325</v>
          </cell>
          <cell r="L33">
            <v>2145212</v>
          </cell>
          <cell r="M33">
            <v>1953618</v>
          </cell>
        </row>
        <row r="41">
          <cell r="B41">
            <v>766339</v>
          </cell>
          <cell r="C41">
            <v>657142</v>
          </cell>
          <cell r="D41">
            <v>702589</v>
          </cell>
          <cell r="E41">
            <v>1537012</v>
          </cell>
          <cell r="F41">
            <v>1678219</v>
          </cell>
          <cell r="G41">
            <v>2028487</v>
          </cell>
          <cell r="H41">
            <v>1708987</v>
          </cell>
          <cell r="I41">
            <v>1891986</v>
          </cell>
          <cell r="J41">
            <v>1020369</v>
          </cell>
          <cell r="K41">
            <v>826787</v>
          </cell>
          <cell r="L41">
            <v>1500816</v>
          </cell>
          <cell r="M41">
            <v>934549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Sheet1"/>
    </sheetNames>
    <sheetDataSet>
      <sheetData sheetId="0" refreshError="1"/>
      <sheetData sheetId="1">
        <row r="17">
          <cell r="B17">
            <v>2763092.4200000004</v>
          </cell>
          <cell r="C17">
            <v>5073160.2</v>
          </cell>
          <cell r="D17">
            <v>6505698.8400000008</v>
          </cell>
          <cell r="E17">
            <v>9391883.8599999994</v>
          </cell>
          <cell r="F17">
            <v>7321070.8599999985</v>
          </cell>
          <cell r="G17">
            <v>5423782.6999999993</v>
          </cell>
          <cell r="H17">
            <v>3842837.96</v>
          </cell>
          <cell r="I17">
            <v>4456713.5999999996</v>
          </cell>
          <cell r="J17">
            <v>4112141.62</v>
          </cell>
          <cell r="K17">
            <v>3149347.74</v>
          </cell>
          <cell r="L17">
            <v>2767185.36</v>
          </cell>
          <cell r="M17">
            <v>3354759.5100000002</v>
          </cell>
        </row>
      </sheetData>
      <sheetData sheetId="2">
        <row r="17">
          <cell r="B17">
            <v>3457076.2</v>
          </cell>
          <cell r="C17">
            <v>1935063</v>
          </cell>
          <cell r="D17">
            <v>4545182.88</v>
          </cell>
          <cell r="E17">
            <v>6350757.4800000004</v>
          </cell>
          <cell r="F17">
            <v>4238449</v>
          </cell>
          <cell r="G17">
            <v>3898689.4</v>
          </cell>
          <cell r="H17">
            <v>2469322</v>
          </cell>
          <cell r="I17">
            <v>3037578</v>
          </cell>
          <cell r="J17">
            <v>2479983.6</v>
          </cell>
          <cell r="K17">
            <v>2962588</v>
          </cell>
          <cell r="L17">
            <v>6186703.7400000002</v>
          </cell>
          <cell r="M17">
            <v>5549439</v>
          </cell>
        </row>
      </sheetData>
      <sheetData sheetId="3">
        <row r="17">
          <cell r="B17">
            <v>9372485</v>
          </cell>
          <cell r="C17">
            <v>10187527</v>
          </cell>
          <cell r="D17">
            <v>11772254</v>
          </cell>
          <cell r="E17">
            <v>7092139</v>
          </cell>
          <cell r="F17">
            <v>6287897</v>
          </cell>
          <cell r="G17">
            <v>6780552</v>
          </cell>
          <cell r="H17">
            <v>6249241</v>
          </cell>
          <cell r="I17">
            <v>3418667</v>
          </cell>
          <cell r="J17">
            <v>4089331</v>
          </cell>
          <cell r="K17">
            <v>4112959</v>
          </cell>
          <cell r="L17">
            <v>4029899</v>
          </cell>
          <cell r="M17">
            <v>4086095</v>
          </cell>
        </row>
      </sheetData>
      <sheetData sheetId="4">
        <row r="17">
          <cell r="B17">
            <v>10862250</v>
          </cell>
          <cell r="C17">
            <v>9937424</v>
          </cell>
          <cell r="D17">
            <v>10970052</v>
          </cell>
          <cell r="E17">
            <v>10922854</v>
          </cell>
          <cell r="F17">
            <v>14290314</v>
          </cell>
          <cell r="G17">
            <v>8341102</v>
          </cell>
          <cell r="H17">
            <v>17717011</v>
          </cell>
          <cell r="I17">
            <v>8436254</v>
          </cell>
          <cell r="J17">
            <v>7940916</v>
          </cell>
          <cell r="K17">
            <v>7797653</v>
          </cell>
          <cell r="L17">
            <v>8067752</v>
          </cell>
          <cell r="M17">
            <v>4791541</v>
          </cell>
        </row>
      </sheetData>
      <sheetData sheetId="5">
        <row r="17">
          <cell r="B17">
            <v>10007237</v>
          </cell>
          <cell r="C17">
            <v>12347695</v>
          </cell>
          <cell r="D17">
            <v>18658566</v>
          </cell>
          <cell r="E17">
            <v>11707194</v>
          </cell>
          <cell r="F17">
            <v>9599689</v>
          </cell>
          <cell r="G17">
            <v>7444651</v>
          </cell>
          <cell r="H17">
            <v>16245960</v>
          </cell>
          <cell r="I17">
            <v>2725567</v>
          </cell>
          <cell r="J17">
            <v>4089082</v>
          </cell>
          <cell r="K17">
            <v>4806901</v>
          </cell>
          <cell r="L17">
            <v>5256142</v>
          </cell>
          <cell r="M17">
            <v>3253021</v>
          </cell>
        </row>
      </sheetData>
      <sheetData sheetId="6">
        <row r="17">
          <cell r="B17">
            <v>3351095</v>
          </cell>
          <cell r="C17">
            <v>6991507</v>
          </cell>
          <cell r="D17">
            <v>8227756</v>
          </cell>
          <cell r="E17">
            <v>8346648</v>
          </cell>
          <cell r="F17">
            <v>6646106</v>
          </cell>
          <cell r="G17">
            <v>9910388</v>
          </cell>
          <cell r="H17">
            <v>6631472</v>
          </cell>
          <cell r="I17">
            <v>8695835</v>
          </cell>
          <cell r="J17">
            <v>8136430</v>
          </cell>
          <cell r="K17">
            <v>4792798</v>
          </cell>
          <cell r="L17">
            <v>8216205</v>
          </cell>
          <cell r="M17">
            <v>9717125</v>
          </cell>
        </row>
      </sheetData>
      <sheetData sheetId="7" refreshError="1"/>
      <sheetData sheetId="8" refreshError="1"/>
      <sheetData sheetId="9">
        <row r="19">
          <cell r="B19">
            <v>-0.49950641000000012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-2006"/>
      <sheetName val="2007"/>
      <sheetName val="2008"/>
      <sheetName val="2009"/>
      <sheetName val="2010"/>
      <sheetName val="2011"/>
      <sheetName val="2012"/>
      <sheetName val="2013"/>
      <sheetName val="2014"/>
      <sheetName val="Sheet3"/>
      <sheetName val="Sheet1"/>
    </sheetNames>
    <sheetDataSet>
      <sheetData sheetId="0">
        <row r="4">
          <cell r="B4">
            <v>0</v>
          </cell>
          <cell r="C4">
            <v>0</v>
          </cell>
          <cell r="D4">
            <v>0</v>
          </cell>
          <cell r="E4">
            <v>672178</v>
          </cell>
          <cell r="F4">
            <v>1678456</v>
          </cell>
          <cell r="G4">
            <v>1709896</v>
          </cell>
          <cell r="H4">
            <v>1175980</v>
          </cell>
          <cell r="I4">
            <v>1027490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13">
          <cell r="B13">
            <v>0</v>
          </cell>
          <cell r="C13">
            <v>0</v>
          </cell>
          <cell r="D13">
            <v>445408</v>
          </cell>
          <cell r="E13">
            <v>738653</v>
          </cell>
          <cell r="F13">
            <v>443791.45</v>
          </cell>
          <cell r="G13">
            <v>442507</v>
          </cell>
          <cell r="H13">
            <v>-671</v>
          </cell>
          <cell r="I13">
            <v>629582</v>
          </cell>
          <cell r="J13">
            <v>0</v>
          </cell>
        </row>
        <row r="18">
          <cell r="D18">
            <v>433000</v>
          </cell>
          <cell r="F18">
            <v>513000</v>
          </cell>
          <cell r="G18">
            <v>443000</v>
          </cell>
          <cell r="I18">
            <v>954000</v>
          </cell>
          <cell r="K18">
            <v>302000</v>
          </cell>
        </row>
      </sheetData>
      <sheetData sheetId="1">
        <row r="4">
          <cell r="B4">
            <v>442472</v>
          </cell>
          <cell r="C4">
            <v>0</v>
          </cell>
          <cell r="D4">
            <v>0</v>
          </cell>
          <cell r="E4">
            <v>1487921</v>
          </cell>
          <cell r="F4">
            <v>0</v>
          </cell>
          <cell r="G4">
            <v>760834</v>
          </cell>
          <cell r="H4">
            <v>755953</v>
          </cell>
          <cell r="I4">
            <v>0</v>
          </cell>
          <cell r="J4">
            <v>0</v>
          </cell>
          <cell r="K4">
            <v>1166630</v>
          </cell>
          <cell r="L4">
            <v>1191173</v>
          </cell>
          <cell r="M4">
            <v>0</v>
          </cell>
        </row>
      </sheetData>
      <sheetData sheetId="2">
        <row r="4">
          <cell r="B4">
            <v>0</v>
          </cell>
          <cell r="C4">
            <v>783430</v>
          </cell>
          <cell r="D4">
            <v>1124311</v>
          </cell>
          <cell r="E4">
            <v>0</v>
          </cell>
          <cell r="F4">
            <v>600450</v>
          </cell>
          <cell r="G4">
            <v>0</v>
          </cell>
          <cell r="H4">
            <v>0</v>
          </cell>
          <cell r="I4">
            <v>0</v>
          </cell>
          <cell r="J4">
            <v>1300068</v>
          </cell>
          <cell r="K4">
            <v>0</v>
          </cell>
          <cell r="L4">
            <v>0</v>
          </cell>
          <cell r="M4">
            <v>-249259</v>
          </cell>
        </row>
      </sheetData>
      <sheetData sheetId="3" refreshError="1"/>
      <sheetData sheetId="4" refreshError="1"/>
      <sheetData sheetId="5">
        <row r="6">
          <cell r="B6">
            <v>519226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B8">
            <v>2817545</v>
          </cell>
          <cell r="C8">
            <v>4174299</v>
          </cell>
          <cell r="D8">
            <v>1200004</v>
          </cell>
          <cell r="E8">
            <v>1525694.93</v>
          </cell>
          <cell r="F8">
            <v>2704389.6599999997</v>
          </cell>
          <cell r="G8">
            <v>3224953.01</v>
          </cell>
          <cell r="H8">
            <v>7200615</v>
          </cell>
          <cell r="I8">
            <v>5913657</v>
          </cell>
          <cell r="J8">
            <v>5288596</v>
          </cell>
          <cell r="K8">
            <v>5210262</v>
          </cell>
          <cell r="L8">
            <v>3007509</v>
          </cell>
          <cell r="M8">
            <v>2017020</v>
          </cell>
        </row>
        <row r="12">
          <cell r="B12">
            <v>7330032</v>
          </cell>
          <cell r="C12">
            <v>14407374</v>
          </cell>
          <cell r="D12">
            <v>9451795</v>
          </cell>
          <cell r="E12">
            <v>86400</v>
          </cell>
          <cell r="F12">
            <v>8678588.2599999998</v>
          </cell>
          <cell r="G12">
            <v>22621808.899999999</v>
          </cell>
          <cell r="H12">
            <v>19000</v>
          </cell>
          <cell r="I12">
            <v>8769566</v>
          </cell>
          <cell r="J12">
            <v>0</v>
          </cell>
          <cell r="K12">
            <v>19000</v>
          </cell>
          <cell r="L12">
            <v>0</v>
          </cell>
          <cell r="M12">
            <v>0</v>
          </cell>
        </row>
        <row r="28">
          <cell r="B28">
            <v>5919004</v>
          </cell>
          <cell r="C28">
            <v>6764738</v>
          </cell>
          <cell r="D28">
            <v>4616230</v>
          </cell>
          <cell r="E28">
            <v>6202095.8899999997</v>
          </cell>
          <cell r="F28">
            <v>4167609.14</v>
          </cell>
          <cell r="G28">
            <v>7458952.0399999954</v>
          </cell>
          <cell r="H28">
            <v>5356597</v>
          </cell>
          <cell r="I28">
            <v>5332368</v>
          </cell>
          <cell r="J28">
            <v>7014492</v>
          </cell>
          <cell r="K28">
            <v>3918506</v>
          </cell>
          <cell r="L28">
            <v>4557457</v>
          </cell>
          <cell r="M28">
            <v>4340116</v>
          </cell>
        </row>
        <row r="32">
          <cell r="B32">
            <v>321256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40">
          <cell r="B40">
            <v>832468</v>
          </cell>
          <cell r="C40">
            <v>945120</v>
          </cell>
          <cell r="D40">
            <v>1371914</v>
          </cell>
          <cell r="E40">
            <v>1908874.37</v>
          </cell>
          <cell r="F40">
            <v>2325858.5200000098</v>
          </cell>
          <cell r="G40">
            <v>2724389.5100000082</v>
          </cell>
          <cell r="H40">
            <v>2150225</v>
          </cell>
          <cell r="I40">
            <v>2494416</v>
          </cell>
          <cell r="J40">
            <v>2021361</v>
          </cell>
          <cell r="K40">
            <v>2225081</v>
          </cell>
          <cell r="L40">
            <v>1570610</v>
          </cell>
          <cell r="M40">
            <v>1871514</v>
          </cell>
        </row>
        <row r="44">
          <cell r="B44">
            <v>9584785</v>
          </cell>
          <cell r="C44">
            <v>24264809</v>
          </cell>
          <cell r="D44">
            <v>8091078</v>
          </cell>
          <cell r="E44">
            <v>17558511.136</v>
          </cell>
          <cell r="F44">
            <v>29997208.788400002</v>
          </cell>
          <cell r="G44">
            <v>16384860.694800001</v>
          </cell>
          <cell r="H44">
            <v>22568775.480800003</v>
          </cell>
          <cell r="I44">
            <v>33295935</v>
          </cell>
          <cell r="J44">
            <v>29684411</v>
          </cell>
          <cell r="K44">
            <v>12628046</v>
          </cell>
          <cell r="L44">
            <v>15992105</v>
          </cell>
          <cell r="M44">
            <v>10876331</v>
          </cell>
        </row>
        <row r="114">
          <cell r="B114">
            <v>1231736</v>
          </cell>
          <cell r="C114">
            <v>2446180</v>
          </cell>
          <cell r="D114">
            <v>2435237</v>
          </cell>
          <cell r="E114">
            <v>4282150.8600000143</v>
          </cell>
          <cell r="F114">
            <v>4516875.1599999974</v>
          </cell>
          <cell r="G114">
            <v>2434280.1600002563</v>
          </cell>
          <cell r="H114">
            <v>3793483</v>
          </cell>
          <cell r="I114">
            <v>2303365</v>
          </cell>
          <cell r="J114">
            <v>2450943</v>
          </cell>
          <cell r="K114">
            <v>3338733.49</v>
          </cell>
          <cell r="L114">
            <v>3167313</v>
          </cell>
          <cell r="M114">
            <v>1498466</v>
          </cell>
        </row>
      </sheetData>
      <sheetData sheetId="7">
        <row r="8">
          <cell r="B8">
            <v>4074096</v>
          </cell>
          <cell r="C8">
            <v>3727862</v>
          </cell>
          <cell r="D8">
            <v>1699772</v>
          </cell>
          <cell r="E8">
            <v>278526</v>
          </cell>
          <cell r="F8">
            <v>1440700</v>
          </cell>
          <cell r="G8">
            <v>3030558</v>
          </cell>
          <cell r="H8">
            <v>4862069</v>
          </cell>
          <cell r="I8">
            <v>4751513</v>
          </cell>
          <cell r="J8">
            <v>5051284</v>
          </cell>
          <cell r="K8">
            <v>5758444</v>
          </cell>
          <cell r="L8">
            <v>4492605</v>
          </cell>
          <cell r="M8">
            <v>3014371</v>
          </cell>
        </row>
        <row r="12">
          <cell r="B12">
            <v>13256400</v>
          </cell>
          <cell r="C12">
            <v>7905350</v>
          </cell>
          <cell r="D12">
            <v>26386976</v>
          </cell>
          <cell r="E12">
            <v>430300</v>
          </cell>
          <cell r="F12">
            <v>15998354</v>
          </cell>
          <cell r="G12">
            <v>7343030</v>
          </cell>
        </row>
        <row r="28">
          <cell r="B28">
            <v>2634700</v>
          </cell>
          <cell r="C28">
            <v>3003880</v>
          </cell>
          <cell r="D28">
            <v>2882879</v>
          </cell>
          <cell r="E28">
            <v>3705637</v>
          </cell>
          <cell r="F28">
            <v>5501251</v>
          </cell>
          <cell r="G28">
            <v>4398634.18</v>
          </cell>
          <cell r="H28">
            <v>4088350</v>
          </cell>
          <cell r="I28">
            <v>2608177</v>
          </cell>
          <cell r="J28">
            <v>3140844</v>
          </cell>
          <cell r="K28">
            <v>3490788</v>
          </cell>
          <cell r="L28">
            <v>3220382</v>
          </cell>
          <cell r="M28">
            <v>2788265</v>
          </cell>
        </row>
        <row r="32">
          <cell r="B32">
            <v>2715941</v>
          </cell>
          <cell r="C32">
            <v>2259916</v>
          </cell>
          <cell r="D32">
            <v>2134885</v>
          </cell>
          <cell r="E32">
            <v>1584720</v>
          </cell>
          <cell r="F32">
            <v>1760050</v>
          </cell>
          <cell r="G32">
            <v>2046003.23</v>
          </cell>
          <cell r="H32">
            <v>1820851</v>
          </cell>
          <cell r="I32">
            <v>1021808</v>
          </cell>
          <cell r="J32">
            <v>990434</v>
          </cell>
          <cell r="K32">
            <v>1169347</v>
          </cell>
          <cell r="L32">
            <v>737409</v>
          </cell>
          <cell r="M32">
            <v>548870</v>
          </cell>
        </row>
        <row r="40">
          <cell r="B40">
            <v>2561504</v>
          </cell>
          <cell r="C40">
            <v>2524394</v>
          </cell>
          <cell r="D40">
            <v>3547551</v>
          </cell>
          <cell r="E40">
            <v>2715584</v>
          </cell>
          <cell r="F40">
            <v>2160801</v>
          </cell>
          <cell r="G40">
            <v>4191872.44000002</v>
          </cell>
          <cell r="H40">
            <v>3444898</v>
          </cell>
          <cell r="I40">
            <v>3137044</v>
          </cell>
          <cell r="J40">
            <v>349722</v>
          </cell>
          <cell r="K40">
            <v>330497</v>
          </cell>
          <cell r="L40">
            <v>656373</v>
          </cell>
          <cell r="M40">
            <v>453633</v>
          </cell>
        </row>
        <row r="115">
          <cell r="B115">
            <v>1200422</v>
          </cell>
          <cell r="C115">
            <v>1676946</v>
          </cell>
          <cell r="D115">
            <v>3972151</v>
          </cell>
          <cell r="E115">
            <v>3516119</v>
          </cell>
          <cell r="F115">
            <v>1721322</v>
          </cell>
          <cell r="G115">
            <v>3985677.92</v>
          </cell>
          <cell r="H115">
            <v>2491572</v>
          </cell>
          <cell r="I115">
            <v>1611148</v>
          </cell>
          <cell r="J115">
            <v>1176533</v>
          </cell>
          <cell r="K115">
            <v>1788380</v>
          </cell>
          <cell r="L115">
            <v>1782580</v>
          </cell>
          <cell r="M115">
            <v>651068</v>
          </cell>
        </row>
        <row r="136">
          <cell r="B136">
            <v>1918651</v>
          </cell>
          <cell r="C136">
            <v>1574326</v>
          </cell>
          <cell r="D136">
            <v>801098</v>
          </cell>
          <cell r="E136">
            <v>255643</v>
          </cell>
          <cell r="F136">
            <v>356414</v>
          </cell>
          <cell r="G136">
            <v>477996</v>
          </cell>
          <cell r="H136">
            <v>1058606</v>
          </cell>
          <cell r="I136">
            <v>2375565</v>
          </cell>
          <cell r="J136">
            <v>3069491</v>
          </cell>
          <cell r="K136">
            <v>2885424</v>
          </cell>
          <cell r="L136">
            <v>2999443</v>
          </cell>
          <cell r="M136">
            <v>1976422</v>
          </cell>
        </row>
      </sheetData>
      <sheetData sheetId="8">
        <row r="8">
          <cell r="B8">
            <v>5818842</v>
          </cell>
          <cell r="C8">
            <v>3784175</v>
          </cell>
          <cell r="D8">
            <v>5960455</v>
          </cell>
          <cell r="E8">
            <v>2741418</v>
          </cell>
          <cell r="F8">
            <v>2076329</v>
          </cell>
          <cell r="G8">
            <v>6189985</v>
          </cell>
          <cell r="H8">
            <v>7436388</v>
          </cell>
          <cell r="I8">
            <v>9621147</v>
          </cell>
          <cell r="J8">
            <v>9698883</v>
          </cell>
          <cell r="K8">
            <v>12417021</v>
          </cell>
          <cell r="L8">
            <v>12531721</v>
          </cell>
          <cell r="M8">
            <v>7739230</v>
          </cell>
        </row>
        <row r="28">
          <cell r="B28">
            <v>3640270</v>
          </cell>
          <cell r="C28">
            <v>3152982</v>
          </cell>
          <cell r="D28">
            <v>4805633</v>
          </cell>
          <cell r="E28">
            <v>4514334</v>
          </cell>
          <cell r="F28">
            <v>6084287</v>
          </cell>
          <cell r="G28">
            <v>4933807</v>
          </cell>
          <cell r="H28">
            <v>4524831</v>
          </cell>
          <cell r="I28">
            <v>5811226</v>
          </cell>
          <cell r="J28">
            <v>4288894</v>
          </cell>
          <cell r="K28">
            <v>3603166</v>
          </cell>
          <cell r="L28">
            <v>3414364</v>
          </cell>
          <cell r="M28">
            <v>1817845</v>
          </cell>
        </row>
        <row r="40">
          <cell r="B40">
            <v>1929806</v>
          </cell>
          <cell r="C40">
            <v>1283995</v>
          </cell>
          <cell r="D40">
            <v>2834089</v>
          </cell>
          <cell r="E40">
            <v>2292717</v>
          </cell>
          <cell r="F40">
            <v>2878448</v>
          </cell>
          <cell r="G40">
            <v>3481114</v>
          </cell>
          <cell r="H40">
            <v>3085133</v>
          </cell>
          <cell r="I40">
            <v>3182536</v>
          </cell>
          <cell r="J40">
            <v>2437966</v>
          </cell>
          <cell r="K40">
            <v>2515585</v>
          </cell>
          <cell r="L40">
            <v>2797034</v>
          </cell>
          <cell r="M40">
            <v>2295973</v>
          </cell>
        </row>
        <row r="115">
          <cell r="B115">
            <v>2353500</v>
          </cell>
          <cell r="C115">
            <v>3227154</v>
          </cell>
          <cell r="D115">
            <v>2733319</v>
          </cell>
          <cell r="E115">
            <v>4213312</v>
          </cell>
          <cell r="F115">
            <v>2714885</v>
          </cell>
          <cell r="G115">
            <v>3566077</v>
          </cell>
          <cell r="H115">
            <v>2486793</v>
          </cell>
          <cell r="I115">
            <v>1706822</v>
          </cell>
          <cell r="J115">
            <v>2446897</v>
          </cell>
          <cell r="K115">
            <v>2093507</v>
          </cell>
          <cell r="L115">
            <v>1410708</v>
          </cell>
          <cell r="M115">
            <v>1305172</v>
          </cell>
        </row>
      </sheetData>
      <sheetData sheetId="9">
        <row r="8">
          <cell r="B8">
            <v>6944983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G11">
            <v>8222359.7400000002</v>
          </cell>
          <cell r="I11">
            <v>9033761.9200000018</v>
          </cell>
          <cell r="K11">
            <v>3948602.1900000013</v>
          </cell>
          <cell r="M11">
            <v>4074811</v>
          </cell>
        </row>
        <row r="15">
          <cell r="B15">
            <v>873216.25899999996</v>
          </cell>
          <cell r="E15">
            <v>9075837.2511814348</v>
          </cell>
        </row>
        <row r="16">
          <cell r="B16">
            <v>589560.022</v>
          </cell>
          <cell r="E16">
            <v>2303905.6428129636</v>
          </cell>
        </row>
        <row r="17">
          <cell r="B17">
            <v>1796489.5010000002</v>
          </cell>
          <cell r="E17">
            <v>13745958.756820304</v>
          </cell>
        </row>
        <row r="18">
          <cell r="B18">
            <v>2302621.2179999999</v>
          </cell>
          <cell r="E18">
            <v>16615401.349185297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"/>
      <sheetName val="2007"/>
      <sheetName val="2008"/>
      <sheetName val="2009"/>
      <sheetName val="2010"/>
      <sheetName val="2011"/>
      <sheetName val="2012"/>
      <sheetName val="2013"/>
      <sheetName val="2014"/>
    </sheetNames>
    <sheetDataSet>
      <sheetData sheetId="0">
        <row r="11">
          <cell r="B11">
            <v>-500180.83243470214</v>
          </cell>
          <cell r="E11">
            <v>-731841.76238778816</v>
          </cell>
          <cell r="F11">
            <v>-2127493.7664134474</v>
          </cell>
          <cell r="G11">
            <v>-713566.56422832049</v>
          </cell>
          <cell r="H11">
            <v>-2839550.8569205161</v>
          </cell>
          <cell r="I11">
            <v>-1983976.3384698464</v>
          </cell>
          <cell r="J11">
            <v>-1333997.1132639314</v>
          </cell>
          <cell r="K11">
            <v>-653689.16722650279</v>
          </cell>
          <cell r="L11">
            <v>-233138.46991706835</v>
          </cell>
          <cell r="M11">
            <v>-1056580.9601465333</v>
          </cell>
        </row>
        <row r="13">
          <cell r="B13">
            <v>3573790.1675652978</v>
          </cell>
          <cell r="C13">
            <v>3753380.1938477266</v>
          </cell>
          <cell r="D13">
            <v>3424124.9649359342</v>
          </cell>
        </row>
      </sheetData>
      <sheetData sheetId="1">
        <row r="12">
          <cell r="B12">
            <v>3574411.26</v>
          </cell>
          <cell r="C12">
            <v>9411896.7234400008</v>
          </cell>
          <cell r="D12">
            <v>4857644.3518200004</v>
          </cell>
          <cell r="E12">
            <v>9160168.1173200011</v>
          </cell>
          <cell r="F12">
            <v>8161355.5999999987</v>
          </cell>
          <cell r="G12">
            <v>10445523.73212</v>
          </cell>
          <cell r="H12">
            <v>10812076.039999999</v>
          </cell>
          <cell r="I12">
            <v>11365081.931059999</v>
          </cell>
          <cell r="J12">
            <v>12801938.744460002</v>
          </cell>
          <cell r="K12">
            <v>13333349.195800001</v>
          </cell>
          <cell r="L12">
            <v>14738054.999999998</v>
          </cell>
          <cell r="M12">
            <v>13404800.619999999</v>
          </cell>
        </row>
      </sheetData>
      <sheetData sheetId="2">
        <row r="19">
          <cell r="B19">
            <v>0</v>
          </cell>
        </row>
      </sheetData>
      <sheetData sheetId="3">
        <row r="26">
          <cell r="B26">
            <v>988094.45515335887</v>
          </cell>
        </row>
      </sheetData>
      <sheetData sheetId="4">
        <row r="19">
          <cell r="B19">
            <v>0</v>
          </cell>
        </row>
      </sheetData>
      <sheetData sheetId="5">
        <row r="19">
          <cell r="B19">
            <v>0</v>
          </cell>
        </row>
      </sheetData>
      <sheetData sheetId="6" refreshError="1"/>
      <sheetData sheetId="7">
        <row r="19">
          <cell r="B19">
            <v>0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  <sheetName val="Sheet3"/>
    </sheetNames>
    <sheetDataSet>
      <sheetData sheetId="0">
        <row r="9">
          <cell r="B9">
            <v>90234.697439999989</v>
          </cell>
          <cell r="C9">
            <v>82329.130559999991</v>
          </cell>
          <cell r="D9">
            <v>131030.46624000001</v>
          </cell>
          <cell r="E9">
            <v>138658.92359999998</v>
          </cell>
          <cell r="F9">
            <v>152256</v>
          </cell>
          <cell r="G9">
            <v>153241.08000000002</v>
          </cell>
          <cell r="H9">
            <v>190573.63823999997</v>
          </cell>
          <cell r="I9">
            <v>140320.53791999997</v>
          </cell>
          <cell r="J9">
            <v>132939.25632000001</v>
          </cell>
          <cell r="K9">
            <v>123829.43328</v>
          </cell>
          <cell r="L9">
            <v>164874.81792</v>
          </cell>
          <cell r="M9">
            <v>139677.76415999999</v>
          </cell>
        </row>
      </sheetData>
      <sheetData sheetId="1">
        <row r="9">
          <cell r="B9">
            <v>161777.76</v>
          </cell>
          <cell r="C9">
            <v>167850.68</v>
          </cell>
          <cell r="D9">
            <v>111056.16</v>
          </cell>
          <cell r="H9">
            <v>144909.59999999998</v>
          </cell>
          <cell r="I9">
            <v>199980.31999999998</v>
          </cell>
          <cell r="J9">
            <v>162314.08000000002</v>
          </cell>
          <cell r="K9">
            <v>149811.35999999999</v>
          </cell>
          <cell r="L9">
            <v>117447.36000000002</v>
          </cell>
          <cell r="M9">
            <v>0</v>
          </cell>
        </row>
        <row r="14">
          <cell r="G14">
            <v>427993.03999999992</v>
          </cell>
        </row>
      </sheetData>
      <sheetData sheetId="2" refreshError="1"/>
      <sheetData sheetId="3" refreshError="1"/>
      <sheetData sheetId="4">
        <row r="9">
          <cell r="B9">
            <v>2806278.92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Annual Summary"/>
      <sheetName val="old Annual 200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>
            <v>3664990</v>
          </cell>
          <cell r="C8">
            <v>3432065</v>
          </cell>
          <cell r="D8">
            <v>3923635</v>
          </cell>
          <cell r="E8">
            <v>2191556</v>
          </cell>
          <cell r="F8">
            <v>9036212</v>
          </cell>
          <cell r="G8">
            <v>5272073</v>
          </cell>
          <cell r="H8">
            <v>5720795</v>
          </cell>
          <cell r="I8">
            <v>4642169</v>
          </cell>
          <cell r="J8">
            <v>3122872</v>
          </cell>
          <cell r="K8">
            <v>6908278</v>
          </cell>
          <cell r="L8">
            <v>7932544</v>
          </cell>
          <cell r="M8">
            <v>4861878</v>
          </cell>
        </row>
        <row r="12">
          <cell r="B12">
            <v>3700599</v>
          </cell>
          <cell r="C12">
            <v>3192299</v>
          </cell>
          <cell r="D12">
            <v>5678537.4299999997</v>
          </cell>
          <cell r="E12">
            <v>11390201</v>
          </cell>
          <cell r="F12">
            <v>9506618</v>
          </cell>
          <cell r="G12">
            <v>8954158</v>
          </cell>
          <cell r="H12">
            <v>12437385</v>
          </cell>
          <cell r="I12">
            <v>0</v>
          </cell>
          <cell r="J12">
            <v>3842236</v>
          </cell>
          <cell r="K12">
            <v>0</v>
          </cell>
          <cell r="L12">
            <v>19000</v>
          </cell>
          <cell r="M12">
            <v>0</v>
          </cell>
        </row>
        <row r="32">
          <cell r="H32">
            <v>0</v>
          </cell>
          <cell r="I32">
            <v>0</v>
          </cell>
          <cell r="J32">
            <v>167245</v>
          </cell>
        </row>
        <row r="40">
          <cell r="B40">
            <v>1918712</v>
          </cell>
          <cell r="C40">
            <v>1969269</v>
          </cell>
          <cell r="D40">
            <v>3133552.7800000091</v>
          </cell>
          <cell r="E40">
            <v>1850333</v>
          </cell>
          <cell r="F40">
            <v>2369429</v>
          </cell>
          <cell r="G40">
            <v>1977575</v>
          </cell>
          <cell r="H40">
            <v>2527587</v>
          </cell>
          <cell r="I40">
            <v>2054357</v>
          </cell>
          <cell r="J40">
            <v>1937452</v>
          </cell>
          <cell r="K40">
            <v>2110005</v>
          </cell>
          <cell r="L40">
            <v>1592552</v>
          </cell>
          <cell r="M40">
            <v>2451408</v>
          </cell>
        </row>
        <row r="44">
          <cell r="B44">
            <v>18594572</v>
          </cell>
          <cell r="C44">
            <v>17411216</v>
          </cell>
          <cell r="D44">
            <v>19102038.415800005</v>
          </cell>
          <cell r="E44">
            <v>19814474</v>
          </cell>
          <cell r="F44">
            <v>8593956</v>
          </cell>
          <cell r="G44">
            <v>16617027</v>
          </cell>
          <cell r="H44">
            <v>17848115</v>
          </cell>
          <cell r="I44">
            <v>16978852</v>
          </cell>
          <cell r="J44">
            <v>8882479</v>
          </cell>
          <cell r="K44">
            <v>18504141</v>
          </cell>
          <cell r="L44">
            <v>19425912</v>
          </cell>
          <cell r="M44">
            <v>19499755</v>
          </cell>
        </row>
        <row r="114">
          <cell r="B114">
            <v>1768253</v>
          </cell>
          <cell r="C114">
            <v>3471499</v>
          </cell>
          <cell r="D114">
            <v>4211548.7300000004</v>
          </cell>
          <cell r="E114">
            <v>4567176</v>
          </cell>
          <cell r="F114">
            <v>3245895</v>
          </cell>
          <cell r="G114">
            <v>4363112</v>
          </cell>
          <cell r="H114">
            <v>4811983</v>
          </cell>
          <cell r="I114">
            <v>4139163</v>
          </cell>
          <cell r="J114">
            <v>4234838</v>
          </cell>
          <cell r="K114">
            <v>4075964</v>
          </cell>
          <cell r="L114">
            <v>4504016</v>
          </cell>
          <cell r="M114">
            <v>2547715</v>
          </cell>
        </row>
      </sheetData>
      <sheetData sheetId="5" refreshError="1">
        <row r="8">
          <cell r="B8">
            <v>4256898</v>
          </cell>
          <cell r="C8">
            <v>1797922</v>
          </cell>
          <cell r="D8">
            <v>1849584.05</v>
          </cell>
          <cell r="E8">
            <v>2820581.13</v>
          </cell>
          <cell r="F8">
            <v>2134314.8699999996</v>
          </cell>
          <cell r="G8">
            <v>3074481</v>
          </cell>
          <cell r="H8">
            <v>4438035.57</v>
          </cell>
          <cell r="I8">
            <v>4672050.07</v>
          </cell>
          <cell r="J8">
            <v>4912008.9800000004</v>
          </cell>
          <cell r="K8">
            <v>8012415</v>
          </cell>
          <cell r="L8">
            <v>6776130</v>
          </cell>
          <cell r="M8">
            <v>4699424</v>
          </cell>
        </row>
        <row r="12">
          <cell r="B12">
            <v>11551450</v>
          </cell>
          <cell r="C12">
            <v>16840550</v>
          </cell>
          <cell r="D12">
            <v>12006567</v>
          </cell>
          <cell r="E12">
            <v>0</v>
          </cell>
          <cell r="F12">
            <v>16171783.9</v>
          </cell>
          <cell r="G12">
            <v>12113123.960000001</v>
          </cell>
          <cell r="H12">
            <v>15614096</v>
          </cell>
          <cell r="I12">
            <v>4726772.34</v>
          </cell>
          <cell r="J12">
            <v>0</v>
          </cell>
          <cell r="K12">
            <v>0</v>
          </cell>
          <cell r="L12">
            <v>19000</v>
          </cell>
          <cell r="M12">
            <v>19000</v>
          </cell>
        </row>
        <row r="40">
          <cell r="B40">
            <v>2011799</v>
          </cell>
          <cell r="C40">
            <v>1832215</v>
          </cell>
          <cell r="D40">
            <v>1810100</v>
          </cell>
          <cell r="E40">
            <v>1412991</v>
          </cell>
          <cell r="F40">
            <v>1231588.9999999998</v>
          </cell>
          <cell r="G40">
            <v>2287776.4400000037</v>
          </cell>
          <cell r="H40">
            <v>2551885.3900000066</v>
          </cell>
          <cell r="I40">
            <v>1951477.7600000042</v>
          </cell>
          <cell r="J40">
            <v>1930446.9</v>
          </cell>
          <cell r="K40">
            <v>1403921</v>
          </cell>
          <cell r="L40">
            <v>1668071</v>
          </cell>
          <cell r="M40">
            <v>1747943</v>
          </cell>
        </row>
        <row r="44">
          <cell r="B44">
            <v>3465300</v>
          </cell>
          <cell r="C44">
            <v>3593800</v>
          </cell>
          <cell r="D44">
            <v>6525290</v>
          </cell>
          <cell r="E44">
            <v>8836112.2919999994</v>
          </cell>
          <cell r="F44">
            <v>8821773.2369999997</v>
          </cell>
          <cell r="G44">
            <v>11810606.6294</v>
          </cell>
          <cell r="H44">
            <v>9513291.980800001</v>
          </cell>
          <cell r="I44">
            <v>14242720.359000001</v>
          </cell>
          <cell r="J44">
            <v>15104745.836999999</v>
          </cell>
          <cell r="K44">
            <v>14962385.039999999</v>
          </cell>
          <cell r="L44">
            <v>16487176</v>
          </cell>
          <cell r="M44">
            <v>7273197</v>
          </cell>
        </row>
        <row r="114">
          <cell r="B114">
            <v>1990692</v>
          </cell>
          <cell r="C114">
            <v>4271766</v>
          </cell>
          <cell r="D114">
            <v>4770467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56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/>
    </sheetView>
  </sheetViews>
  <sheetFormatPr defaultColWidth="9.625" defaultRowHeight="12" x14ac:dyDescent="0.15"/>
  <cols>
    <col min="1" max="1" width="11.5" customWidth="1"/>
    <col min="2" max="8" width="10" customWidth="1"/>
    <col min="9" max="9" width="10.625" style="10" customWidth="1"/>
    <col min="10" max="10" width="13.625" customWidth="1"/>
    <col min="11" max="12" width="15" bestFit="1" customWidth="1"/>
  </cols>
  <sheetData>
    <row r="1" spans="1:12" ht="18" customHeight="1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20"/>
      <c r="K1" s="20"/>
      <c r="L1" s="19"/>
    </row>
    <row r="2" spans="1:12" ht="14.2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20"/>
      <c r="K2" s="20"/>
      <c r="L2" s="19"/>
    </row>
    <row r="3" spans="1:12" ht="14.25" customHeight="1" x14ac:dyDescent="0.2">
      <c r="A3" s="1"/>
      <c r="B3" s="1"/>
      <c r="C3" s="1"/>
      <c r="D3" s="1"/>
      <c r="E3" s="1" t="s">
        <v>0</v>
      </c>
      <c r="F3" s="1"/>
      <c r="G3" s="1"/>
      <c r="H3" s="1"/>
      <c r="I3" s="39" t="s">
        <v>26</v>
      </c>
      <c r="K3" s="6"/>
    </row>
    <row r="4" spans="1:12" s="4" customFormat="1" ht="13.5" customHeight="1" x14ac:dyDescent="0.2">
      <c r="A4" s="3"/>
      <c r="B4" s="3"/>
      <c r="C4" s="3"/>
      <c r="D4" s="3"/>
      <c r="E4" s="42" t="s">
        <v>1</v>
      </c>
      <c r="F4" s="42" t="s">
        <v>2</v>
      </c>
      <c r="G4" s="3"/>
      <c r="H4" s="3"/>
      <c r="I4" s="7"/>
    </row>
    <row r="5" spans="1:12" s="4" customFormat="1" ht="13.5" customHeight="1" x14ac:dyDescent="0.2">
      <c r="A5" s="5" t="s">
        <v>3</v>
      </c>
      <c r="B5" s="5" t="s">
        <v>4</v>
      </c>
      <c r="C5" s="5" t="s">
        <v>32</v>
      </c>
      <c r="D5" s="5" t="s">
        <v>33</v>
      </c>
      <c r="E5" s="5" t="s">
        <v>37</v>
      </c>
      <c r="F5" s="5" t="s">
        <v>5</v>
      </c>
      <c r="G5" s="5" t="s">
        <v>6</v>
      </c>
      <c r="H5" s="5" t="s">
        <v>35</v>
      </c>
      <c r="I5" s="14" t="s">
        <v>17</v>
      </c>
    </row>
    <row r="6" spans="1:12" s="4" customFormat="1" ht="15" customHeight="1" x14ac:dyDescent="0.2">
      <c r="A6" s="21" t="s">
        <v>7</v>
      </c>
      <c r="B6" s="22">
        <v>95403</v>
      </c>
      <c r="C6" s="22">
        <v>4377</v>
      </c>
      <c r="D6" s="22">
        <v>6987</v>
      </c>
      <c r="E6" s="22">
        <v>12738</v>
      </c>
      <c r="F6" s="22">
        <v>8421</v>
      </c>
      <c r="G6" s="22">
        <v>28342</v>
      </c>
      <c r="H6" s="22">
        <f>5117+2335</f>
        <v>7452</v>
      </c>
      <c r="I6" s="22">
        <f t="shared" ref="I6:I11" si="0">SUM(B6:H6)</f>
        <v>163720</v>
      </c>
    </row>
    <row r="7" spans="1:12" s="4" customFormat="1" ht="13.5" customHeight="1" x14ac:dyDescent="0.2">
      <c r="A7" s="23" t="s">
        <v>8</v>
      </c>
      <c r="B7" s="17">
        <v>85227</v>
      </c>
      <c r="C7" s="17">
        <v>2419</v>
      </c>
      <c r="D7" s="17">
        <v>4311</v>
      </c>
      <c r="E7" s="17">
        <v>13004</v>
      </c>
      <c r="F7" s="17">
        <v>14405</v>
      </c>
      <c r="G7" s="17">
        <v>22128</v>
      </c>
      <c r="H7" s="17">
        <f>5584+2394</f>
        <v>7978</v>
      </c>
      <c r="I7" s="17">
        <f t="shared" si="0"/>
        <v>149472</v>
      </c>
    </row>
    <row r="8" spans="1:12" s="4" customFormat="1" ht="13.5" customHeight="1" x14ac:dyDescent="0.2">
      <c r="A8" s="23" t="s">
        <v>9</v>
      </c>
      <c r="B8" s="17">
        <v>66673</v>
      </c>
      <c r="C8" s="17">
        <v>1790</v>
      </c>
      <c r="D8" s="17">
        <v>4265</v>
      </c>
      <c r="E8" s="17">
        <v>13964</v>
      </c>
      <c r="F8" s="17">
        <v>13330</v>
      </c>
      <c r="G8" s="17">
        <v>12639</v>
      </c>
      <c r="H8" s="17">
        <f>5059+3697</f>
        <v>8756</v>
      </c>
      <c r="I8" s="17">
        <f t="shared" si="0"/>
        <v>121417</v>
      </c>
    </row>
    <row r="9" spans="1:12" s="4" customFormat="1" ht="13.5" customHeight="1" x14ac:dyDescent="0.2">
      <c r="A9" s="23" t="s">
        <v>10</v>
      </c>
      <c r="B9" s="17">
        <v>70927</v>
      </c>
      <c r="C9" s="17">
        <v>1213</v>
      </c>
      <c r="D9" s="17">
        <v>4818</v>
      </c>
      <c r="E9" s="17">
        <v>12600</v>
      </c>
      <c r="F9" s="17">
        <v>15045</v>
      </c>
      <c r="G9" s="17">
        <v>16771</v>
      </c>
      <c r="H9" s="17">
        <f>6306+2701</f>
        <v>9007</v>
      </c>
      <c r="I9" s="17">
        <f t="shared" si="0"/>
        <v>130381</v>
      </c>
    </row>
    <row r="10" spans="1:12" s="4" customFormat="1" ht="13.5" customHeight="1" x14ac:dyDescent="0.2">
      <c r="A10" s="23" t="s">
        <v>11</v>
      </c>
      <c r="B10" s="17">
        <v>65072</v>
      </c>
      <c r="C10" s="17">
        <v>2280</v>
      </c>
      <c r="D10" s="17">
        <v>6286</v>
      </c>
      <c r="E10" s="17">
        <v>19546</v>
      </c>
      <c r="F10" s="17">
        <v>13417</v>
      </c>
      <c r="G10" s="17">
        <v>31240</v>
      </c>
      <c r="H10" s="17">
        <f>5892+1985</f>
        <v>7877</v>
      </c>
      <c r="I10" s="17">
        <f t="shared" si="0"/>
        <v>145718</v>
      </c>
    </row>
    <row r="11" spans="1:12" s="4" customFormat="1" ht="13.5" customHeight="1" x14ac:dyDescent="0.2">
      <c r="A11" s="23" t="s">
        <v>12</v>
      </c>
      <c r="B11" s="17">
        <v>45857</v>
      </c>
      <c r="C11" s="17">
        <v>1725</v>
      </c>
      <c r="D11" s="17">
        <v>6605</v>
      </c>
      <c r="E11" s="17">
        <v>24240</v>
      </c>
      <c r="F11" s="17">
        <v>15002</v>
      </c>
      <c r="G11" s="17">
        <v>31050</v>
      </c>
      <c r="H11" s="17">
        <f>3378+993</f>
        <v>4371</v>
      </c>
      <c r="I11" s="17">
        <f t="shared" si="0"/>
        <v>128850</v>
      </c>
    </row>
    <row r="12" spans="1:12" s="4" customFormat="1" ht="13.5" customHeight="1" x14ac:dyDescent="0.2">
      <c r="A12" s="23" t="s">
        <v>13</v>
      </c>
      <c r="B12" s="17">
        <v>62908</v>
      </c>
      <c r="C12" s="17">
        <v>986</v>
      </c>
      <c r="D12" s="17">
        <v>9199</v>
      </c>
      <c r="E12" s="17">
        <v>22221</v>
      </c>
      <c r="F12" s="17">
        <v>14780</v>
      </c>
      <c r="G12" s="17">
        <v>32439</v>
      </c>
      <c r="H12" s="17">
        <f>5924+491</f>
        <v>6415</v>
      </c>
      <c r="I12" s="17">
        <f t="shared" ref="I12:I19" si="1">SUM(B12:H12)</f>
        <v>148948</v>
      </c>
    </row>
    <row r="13" spans="1:12" s="4" customFormat="1" ht="13.5" customHeight="1" x14ac:dyDescent="0.2">
      <c r="A13" s="23" t="s">
        <v>14</v>
      </c>
      <c r="B13" s="17">
        <v>62622</v>
      </c>
      <c r="C13" s="17">
        <v>1069</v>
      </c>
      <c r="D13" s="17">
        <v>14312</v>
      </c>
      <c r="E13" s="17">
        <v>32008</v>
      </c>
      <c r="F13" s="17">
        <v>16856</v>
      </c>
      <c r="G13" s="17">
        <v>31238</v>
      </c>
      <c r="H13" s="17">
        <f>11510+4228</f>
        <v>15738</v>
      </c>
      <c r="I13" s="17">
        <f t="shared" si="1"/>
        <v>173843</v>
      </c>
    </row>
    <row r="14" spans="1:12" s="4" customFormat="1" ht="13.5" customHeight="1" x14ac:dyDescent="0.2">
      <c r="A14" s="23" t="s">
        <v>15</v>
      </c>
      <c r="B14" s="17">
        <v>70028</v>
      </c>
      <c r="C14" s="17">
        <v>955</v>
      </c>
      <c r="D14" s="17">
        <v>17233</v>
      </c>
      <c r="E14" s="17">
        <v>34582</v>
      </c>
      <c r="F14" s="17">
        <v>16158</v>
      </c>
      <c r="G14" s="17">
        <v>37271</v>
      </c>
      <c r="H14" s="17">
        <f>8668+5447</f>
        <v>14115</v>
      </c>
      <c r="I14" s="17">
        <f t="shared" si="1"/>
        <v>190342</v>
      </c>
    </row>
    <row r="15" spans="1:12" s="4" customFormat="1" ht="13.5" customHeight="1" x14ac:dyDescent="0.2">
      <c r="A15" s="23" t="s">
        <v>16</v>
      </c>
      <c r="B15" s="17"/>
      <c r="C15" s="17"/>
      <c r="D15" s="17"/>
      <c r="E15" s="17"/>
      <c r="F15" s="17"/>
      <c r="G15" s="17"/>
      <c r="H15" s="17"/>
      <c r="I15" s="17"/>
    </row>
    <row r="16" spans="1:12" s="4" customFormat="1" ht="13.5" customHeight="1" x14ac:dyDescent="0.2">
      <c r="A16" s="24" t="s">
        <v>28</v>
      </c>
      <c r="B16" s="17">
        <v>20604</v>
      </c>
      <c r="C16" s="17">
        <v>485</v>
      </c>
      <c r="D16" s="17">
        <v>5597</v>
      </c>
      <c r="E16" s="17">
        <v>15153</v>
      </c>
      <c r="F16" s="17">
        <v>2860</v>
      </c>
      <c r="G16" s="17">
        <v>9211</v>
      </c>
      <c r="H16" s="17">
        <f>2653+704</f>
        <v>3357</v>
      </c>
      <c r="I16" s="17">
        <f t="shared" si="1"/>
        <v>57267</v>
      </c>
    </row>
    <row r="17" spans="1:9" s="4" customFormat="1" ht="13.5" customHeight="1" x14ac:dyDescent="0.2">
      <c r="A17" s="24" t="s">
        <v>29</v>
      </c>
      <c r="B17" s="17">
        <v>26659</v>
      </c>
      <c r="C17" s="17">
        <v>367</v>
      </c>
      <c r="D17" s="17">
        <v>2623</v>
      </c>
      <c r="E17" s="17">
        <v>15048</v>
      </c>
      <c r="F17" s="17">
        <v>1242</v>
      </c>
      <c r="G17" s="17">
        <v>11035</v>
      </c>
      <c r="H17" s="17">
        <f>2567+764</f>
        <v>3331</v>
      </c>
      <c r="I17" s="17">
        <f t="shared" si="1"/>
        <v>60305</v>
      </c>
    </row>
    <row r="18" spans="1:9" s="4" customFormat="1" ht="13.5" customHeight="1" x14ac:dyDescent="0.2">
      <c r="A18" s="24" t="s">
        <v>30</v>
      </c>
      <c r="B18" s="17">
        <v>20865</v>
      </c>
      <c r="C18" s="17">
        <v>337</v>
      </c>
      <c r="D18" s="17">
        <v>5611</v>
      </c>
      <c r="E18" s="17">
        <v>2871</v>
      </c>
      <c r="F18" s="17">
        <v>5116</v>
      </c>
      <c r="G18" s="17">
        <v>7416</v>
      </c>
      <c r="H18" s="17">
        <f>1254+1857</f>
        <v>3111</v>
      </c>
      <c r="I18" s="17">
        <f t="shared" si="1"/>
        <v>45327</v>
      </c>
    </row>
    <row r="19" spans="1:9" s="4" customFormat="1" ht="13.5" customHeight="1" x14ac:dyDescent="0.2">
      <c r="A19" s="24" t="s">
        <v>31</v>
      </c>
      <c r="B19" s="17">
        <v>0</v>
      </c>
      <c r="C19" s="17">
        <v>69</v>
      </c>
      <c r="D19" s="17">
        <v>4240</v>
      </c>
      <c r="E19" s="17">
        <v>5864</v>
      </c>
      <c r="F19" s="17">
        <v>4126</v>
      </c>
      <c r="G19" s="17">
        <v>7011</v>
      </c>
      <c r="H19" s="17">
        <f>2426+1334</f>
        <v>3760</v>
      </c>
      <c r="I19" s="17">
        <f t="shared" si="1"/>
        <v>25070</v>
      </c>
    </row>
    <row r="20" spans="1:9" s="2" customFormat="1" ht="13.5" customHeight="1" x14ac:dyDescent="0.2">
      <c r="A20" s="25" t="s">
        <v>17</v>
      </c>
      <c r="B20" s="23">
        <f t="shared" ref="B20:I20" si="2">SUM(B16:B19)</f>
        <v>68128</v>
      </c>
      <c r="C20" s="23">
        <f t="shared" si="2"/>
        <v>1258</v>
      </c>
      <c r="D20" s="23">
        <f t="shared" si="2"/>
        <v>18071</v>
      </c>
      <c r="E20" s="23">
        <f t="shared" si="2"/>
        <v>38936</v>
      </c>
      <c r="F20" s="23">
        <f t="shared" si="2"/>
        <v>13344</v>
      </c>
      <c r="G20" s="23">
        <f t="shared" si="2"/>
        <v>34673</v>
      </c>
      <c r="H20" s="23">
        <f>SUM(H16:H19)</f>
        <v>13559</v>
      </c>
      <c r="I20" s="23">
        <f t="shared" si="2"/>
        <v>187969</v>
      </c>
    </row>
    <row r="21" spans="1:9" s="4" customFormat="1" ht="13.5" customHeight="1" x14ac:dyDescent="0.2">
      <c r="A21" s="25" t="s">
        <v>18</v>
      </c>
      <c r="B21" s="17"/>
      <c r="C21" s="17"/>
      <c r="D21" s="17"/>
      <c r="E21" s="17"/>
      <c r="F21" s="17"/>
      <c r="G21" s="17"/>
      <c r="H21" s="17"/>
      <c r="I21" s="17"/>
    </row>
    <row r="22" spans="1:9" s="4" customFormat="1" ht="13.5" customHeight="1" x14ac:dyDescent="0.2">
      <c r="A22" s="24" t="s">
        <v>28</v>
      </c>
      <c r="B22" s="17">
        <v>20728</v>
      </c>
      <c r="C22" s="17">
        <v>419</v>
      </c>
      <c r="D22" s="17">
        <v>3025</v>
      </c>
      <c r="E22" s="17">
        <v>24066</v>
      </c>
      <c r="F22" s="17">
        <v>2653</v>
      </c>
      <c r="G22" s="17">
        <v>7953</v>
      </c>
      <c r="H22" s="17">
        <f>1246+820</f>
        <v>2066</v>
      </c>
      <c r="I22" s="17">
        <f t="shared" ref="I22:I25" si="3">SUM(B22:H22)</f>
        <v>60910</v>
      </c>
    </row>
    <row r="23" spans="1:9" s="4" customFormat="1" ht="13.5" customHeight="1" x14ac:dyDescent="0.2">
      <c r="A23" s="24" t="s">
        <v>29</v>
      </c>
      <c r="B23" s="17">
        <v>38459</v>
      </c>
      <c r="C23" s="17">
        <v>2411</v>
      </c>
      <c r="D23" s="17">
        <v>4265</v>
      </c>
      <c r="E23" s="17">
        <v>12806</v>
      </c>
      <c r="F23" s="17">
        <v>701</v>
      </c>
      <c r="G23" s="17">
        <v>3665</v>
      </c>
      <c r="H23" s="17">
        <f>5269+830</f>
        <v>6099</v>
      </c>
      <c r="I23" s="17">
        <f t="shared" si="3"/>
        <v>68406</v>
      </c>
    </row>
    <row r="24" spans="1:9" s="4" customFormat="1" ht="13.5" customHeight="1" x14ac:dyDescent="0.2">
      <c r="A24" s="24" t="s">
        <v>30</v>
      </c>
      <c r="B24" s="17">
        <v>23540</v>
      </c>
      <c r="C24" s="17">
        <v>3705</v>
      </c>
      <c r="D24" s="17">
        <v>6031</v>
      </c>
      <c r="E24" s="17">
        <v>2005</v>
      </c>
      <c r="F24" s="17">
        <v>3793</v>
      </c>
      <c r="G24" s="17">
        <v>9564</v>
      </c>
      <c r="H24" s="17">
        <f>1800+1221</f>
        <v>3021</v>
      </c>
      <c r="I24" s="17">
        <f t="shared" si="3"/>
        <v>51659</v>
      </c>
    </row>
    <row r="25" spans="1:9" s="4" customFormat="1" ht="13.5" customHeight="1" x14ac:dyDescent="0.2">
      <c r="A25" s="24" t="s">
        <v>31</v>
      </c>
      <c r="B25" s="17">
        <v>2801</v>
      </c>
      <c r="C25" s="17">
        <v>0</v>
      </c>
      <c r="D25" s="17">
        <v>6417</v>
      </c>
      <c r="E25" s="17">
        <v>5469</v>
      </c>
      <c r="F25" s="17">
        <v>3207</v>
      </c>
      <c r="G25" s="17">
        <v>7460</v>
      </c>
      <c r="H25" s="17">
        <f>1860+907</f>
        <v>2767</v>
      </c>
      <c r="I25" s="17">
        <f t="shared" si="3"/>
        <v>28121</v>
      </c>
    </row>
    <row r="26" spans="1:9" s="2" customFormat="1" ht="13.5" customHeight="1" x14ac:dyDescent="0.2">
      <c r="A26" s="25" t="s">
        <v>17</v>
      </c>
      <c r="B26" s="23">
        <f t="shared" ref="B26:I26" si="4">SUM(B22:B25)</f>
        <v>85528</v>
      </c>
      <c r="C26" s="23">
        <f t="shared" si="4"/>
        <v>6535</v>
      </c>
      <c r="D26" s="23">
        <f t="shared" si="4"/>
        <v>19738</v>
      </c>
      <c r="E26" s="23">
        <f t="shared" si="4"/>
        <v>44346</v>
      </c>
      <c r="F26" s="23">
        <f t="shared" si="4"/>
        <v>10354</v>
      </c>
      <c r="G26" s="23">
        <f t="shared" si="4"/>
        <v>28642</v>
      </c>
      <c r="H26" s="23">
        <f t="shared" si="4"/>
        <v>13953</v>
      </c>
      <c r="I26" s="23">
        <f t="shared" si="4"/>
        <v>209096</v>
      </c>
    </row>
    <row r="27" spans="1:9" s="4" customFormat="1" ht="13.5" customHeight="1" x14ac:dyDescent="0.2">
      <c r="A27" s="25" t="s">
        <v>19</v>
      </c>
      <c r="B27" s="17"/>
      <c r="C27" s="17"/>
      <c r="D27" s="17"/>
      <c r="E27" s="17"/>
      <c r="F27" s="17"/>
      <c r="G27" s="17"/>
      <c r="H27" s="17"/>
      <c r="I27" s="17"/>
    </row>
    <row r="28" spans="1:9" s="4" customFormat="1" ht="13.5" customHeight="1" x14ac:dyDescent="0.2">
      <c r="A28" s="24" t="s">
        <v>28</v>
      </c>
      <c r="B28" s="17">
        <v>31382</v>
      </c>
      <c r="C28" s="17">
        <v>398</v>
      </c>
      <c r="D28" s="17">
        <v>3274</v>
      </c>
      <c r="E28" s="17">
        <v>11577</v>
      </c>
      <c r="F28" s="17">
        <v>3142</v>
      </c>
      <c r="G28" s="17">
        <v>8167</v>
      </c>
      <c r="H28" s="17">
        <f>3306+897</f>
        <v>4203</v>
      </c>
      <c r="I28" s="17">
        <f>SUM(B28:H28)</f>
        <v>62143</v>
      </c>
    </row>
    <row r="29" spans="1:9" s="4" customFormat="1" ht="13.5" customHeight="1" x14ac:dyDescent="0.2">
      <c r="A29" s="24" t="s">
        <v>29</v>
      </c>
      <c r="B29" s="17">
        <v>19725</v>
      </c>
      <c r="C29" s="17">
        <v>4810</v>
      </c>
      <c r="D29" s="17">
        <v>3385</v>
      </c>
      <c r="E29" s="17">
        <v>3745</v>
      </c>
      <c r="F29" s="17">
        <v>793</v>
      </c>
      <c r="G29" s="17">
        <v>10109</v>
      </c>
      <c r="H29" s="17">
        <f>2766+1339</f>
        <v>4105</v>
      </c>
      <c r="I29" s="17">
        <f>SUM(B29:H29)</f>
        <v>46672</v>
      </c>
    </row>
    <row r="30" spans="1:9" s="4" customFormat="1" ht="13.5" customHeight="1" x14ac:dyDescent="0.2">
      <c r="A30" s="24" t="s">
        <v>30</v>
      </c>
      <c r="B30" s="17">
        <v>32212</v>
      </c>
      <c r="C30" s="17">
        <v>460</v>
      </c>
      <c r="D30" s="17">
        <v>3823</v>
      </c>
      <c r="E30" s="17">
        <v>1665</v>
      </c>
      <c r="F30" s="17">
        <v>4393</v>
      </c>
      <c r="G30" s="17">
        <v>8729</v>
      </c>
      <c r="H30" s="17">
        <f>1513+1638</f>
        <v>3151</v>
      </c>
      <c r="I30" s="17">
        <f>SUM(B30:H30)</f>
        <v>54433</v>
      </c>
    </row>
    <row r="31" spans="1:9" s="4" customFormat="1" ht="13.5" customHeight="1" x14ac:dyDescent="0.2">
      <c r="A31" s="24" t="s">
        <v>31</v>
      </c>
      <c r="B31" s="17">
        <v>0</v>
      </c>
      <c r="C31" s="17">
        <v>1813</v>
      </c>
      <c r="D31" s="17">
        <v>4192</v>
      </c>
      <c r="E31" s="17">
        <v>936</v>
      </c>
      <c r="F31" s="17">
        <v>3322</v>
      </c>
      <c r="G31" s="17">
        <v>8072</v>
      </c>
      <c r="H31" s="17">
        <f>7082+1981</f>
        <v>9063</v>
      </c>
      <c r="I31" s="17">
        <f>SUM(B31:H31)</f>
        <v>27398</v>
      </c>
    </row>
    <row r="32" spans="1:9" s="2" customFormat="1" ht="13.5" customHeight="1" x14ac:dyDescent="0.2">
      <c r="A32" s="25" t="s">
        <v>17</v>
      </c>
      <c r="B32" s="23">
        <f t="shared" ref="B32:I32" si="5">SUM(B28:B31)</f>
        <v>83319</v>
      </c>
      <c r="C32" s="23">
        <f t="shared" si="5"/>
        <v>7481</v>
      </c>
      <c r="D32" s="23">
        <f t="shared" si="5"/>
        <v>14674</v>
      </c>
      <c r="E32" s="23">
        <f t="shared" si="5"/>
        <v>17923</v>
      </c>
      <c r="F32" s="23">
        <f t="shared" si="5"/>
        <v>11650</v>
      </c>
      <c r="G32" s="23">
        <f t="shared" si="5"/>
        <v>35077</v>
      </c>
      <c r="H32" s="23">
        <f t="shared" si="5"/>
        <v>20522</v>
      </c>
      <c r="I32" s="23">
        <f t="shared" si="5"/>
        <v>190646</v>
      </c>
    </row>
    <row r="33" spans="1:9" s="4" customFormat="1" ht="13.5" customHeight="1" x14ac:dyDescent="0.2">
      <c r="A33" s="25" t="s">
        <v>20</v>
      </c>
      <c r="B33" s="17"/>
      <c r="C33" s="17"/>
      <c r="D33" s="17"/>
      <c r="E33" s="17"/>
      <c r="F33" s="17"/>
      <c r="G33" s="17"/>
      <c r="H33" s="17"/>
      <c r="I33" s="17"/>
    </row>
    <row r="34" spans="1:9" s="4" customFormat="1" ht="13.5" customHeight="1" x14ac:dyDescent="0.2">
      <c r="A34" s="24" t="s">
        <v>28</v>
      </c>
      <c r="B34" s="17">
        <v>27354</v>
      </c>
      <c r="C34" s="17">
        <v>508</v>
      </c>
      <c r="D34" s="17">
        <v>4238</v>
      </c>
      <c r="E34" s="17">
        <f>14886+6016</f>
        <v>20902</v>
      </c>
      <c r="F34" s="17">
        <v>6142</v>
      </c>
      <c r="G34" s="17">
        <v>8138</v>
      </c>
      <c r="H34" s="17">
        <f>1814+932</f>
        <v>2746</v>
      </c>
      <c r="I34" s="17">
        <f>SUM(B34:H34)</f>
        <v>70028</v>
      </c>
    </row>
    <row r="35" spans="1:9" s="4" customFormat="1" ht="13.5" customHeight="1" x14ac:dyDescent="0.2">
      <c r="A35" s="24" t="s">
        <v>29</v>
      </c>
      <c r="B35" s="17">
        <v>22851</v>
      </c>
      <c r="C35" s="17">
        <v>3570</v>
      </c>
      <c r="D35" s="17">
        <v>4801</v>
      </c>
      <c r="E35" s="17">
        <f>3069+16658</f>
        <v>19727</v>
      </c>
      <c r="F35" s="17">
        <v>2382</v>
      </c>
      <c r="G35" s="17">
        <v>8657</v>
      </c>
      <c r="H35" s="17">
        <f>3456+1507</f>
        <v>4963</v>
      </c>
      <c r="I35" s="17">
        <f>SUM(B35:H35)</f>
        <v>66951</v>
      </c>
    </row>
    <row r="36" spans="1:9" s="4" customFormat="1" ht="13.5" customHeight="1" x14ac:dyDescent="0.2">
      <c r="A36" s="24" t="s">
        <v>30</v>
      </c>
      <c r="B36" s="17">
        <f>6023+16+9218</f>
        <v>15257</v>
      </c>
      <c r="C36" s="17">
        <v>464</v>
      </c>
      <c r="D36" s="17">
        <f>1984+1704+2483</f>
        <v>6171</v>
      </c>
      <c r="E36" s="17">
        <f>2351+79+348+2047+1227</f>
        <v>6052</v>
      </c>
      <c r="F36" s="17">
        <f>2786+2452+2249</f>
        <v>7487</v>
      </c>
      <c r="G36" s="17">
        <f>2421+3524+3429</f>
        <v>9374</v>
      </c>
      <c r="H36" s="17">
        <f>6259+1320</f>
        <v>7579</v>
      </c>
      <c r="I36" s="17">
        <f>SUM(B36:H36)</f>
        <v>52384</v>
      </c>
    </row>
    <row r="37" spans="1:9" s="4" customFormat="1" ht="13.5" customHeight="1" x14ac:dyDescent="0.2">
      <c r="A37" s="24" t="s">
        <v>31</v>
      </c>
      <c r="B37" s="17">
        <v>9746</v>
      </c>
      <c r="C37" s="17">
        <v>0</v>
      </c>
      <c r="D37" s="17">
        <v>5287</v>
      </c>
      <c r="E37" s="17">
        <v>8082</v>
      </c>
      <c r="F37" s="17">
        <v>6420</v>
      </c>
      <c r="G37" s="17">
        <v>7399</v>
      </c>
      <c r="H37" s="17">
        <f>5198+1062</f>
        <v>6260</v>
      </c>
      <c r="I37" s="17">
        <f>SUM(B37:H37)</f>
        <v>43194</v>
      </c>
    </row>
    <row r="38" spans="1:9" s="2" customFormat="1" ht="13.5" customHeight="1" x14ac:dyDescent="0.2">
      <c r="A38" s="25" t="s">
        <v>17</v>
      </c>
      <c r="B38" s="23">
        <f t="shared" ref="B38:I38" si="6">SUM(B34:B37)</f>
        <v>75208</v>
      </c>
      <c r="C38" s="23">
        <f t="shared" si="6"/>
        <v>4542</v>
      </c>
      <c r="D38" s="23">
        <f t="shared" si="6"/>
        <v>20497</v>
      </c>
      <c r="E38" s="23">
        <f t="shared" si="6"/>
        <v>54763</v>
      </c>
      <c r="F38" s="23">
        <f t="shared" si="6"/>
        <v>22431</v>
      </c>
      <c r="G38" s="23">
        <f t="shared" si="6"/>
        <v>33568</v>
      </c>
      <c r="H38" s="23">
        <f t="shared" si="6"/>
        <v>21548</v>
      </c>
      <c r="I38" s="23">
        <f t="shared" si="6"/>
        <v>232557</v>
      </c>
    </row>
    <row r="39" spans="1:9" s="4" customFormat="1" ht="13.5" customHeight="1" x14ac:dyDescent="0.2">
      <c r="A39" s="25" t="s">
        <v>21</v>
      </c>
      <c r="B39" s="17"/>
      <c r="C39" s="17"/>
      <c r="D39" s="17"/>
      <c r="E39" s="17"/>
      <c r="F39" s="17"/>
      <c r="G39" s="17"/>
      <c r="H39" s="17"/>
      <c r="I39" s="17"/>
    </row>
    <row r="40" spans="1:9" s="4" customFormat="1" ht="13.5" customHeight="1" x14ac:dyDescent="0.2">
      <c r="A40" s="24" t="s">
        <v>28</v>
      </c>
      <c r="B40" s="17">
        <f>13537+5263+8450</f>
        <v>27250</v>
      </c>
      <c r="C40" s="17">
        <f>268+2163</f>
        <v>2431</v>
      </c>
      <c r="D40" s="17">
        <f>1626+1481+1993</f>
        <v>5100</v>
      </c>
      <c r="E40" s="17">
        <v>16133</v>
      </c>
      <c r="F40" s="17">
        <f>3046+2599+2404</f>
        <v>8049</v>
      </c>
      <c r="G40" s="17">
        <f>2673+3663+4319</f>
        <v>10655</v>
      </c>
      <c r="H40" s="17">
        <f>3463+531</f>
        <v>3994</v>
      </c>
      <c r="I40" s="17">
        <f t="shared" ref="I40:I43" si="7">SUM(B40:H40)</f>
        <v>73612</v>
      </c>
    </row>
    <row r="41" spans="1:9" s="4" customFormat="1" ht="13.5" customHeight="1" x14ac:dyDescent="0.2">
      <c r="A41" s="24" t="s">
        <v>29</v>
      </c>
      <c r="B41" s="17">
        <f>19892+5920+5629</f>
        <v>31441</v>
      </c>
      <c r="C41" s="17">
        <f>4702+2160</f>
        <v>6862</v>
      </c>
      <c r="D41" s="17">
        <f>1616+1656+2090</f>
        <v>5362</v>
      </c>
      <c r="E41" s="17">
        <f>422+810+440+2232+715+2195</f>
        <v>6814</v>
      </c>
      <c r="F41" s="17">
        <f>974+78+558</f>
        <v>1610</v>
      </c>
      <c r="G41" s="17">
        <f>3901+3776+3123</f>
        <v>10800</v>
      </c>
      <c r="H41" s="17">
        <f>3151+1585</f>
        <v>4736</v>
      </c>
      <c r="I41" s="17">
        <f t="shared" si="7"/>
        <v>67625</v>
      </c>
    </row>
    <row r="42" spans="1:9" s="4" customFormat="1" ht="13.5" customHeight="1" x14ac:dyDescent="0.2">
      <c r="A42" s="24" t="s">
        <v>30</v>
      </c>
      <c r="B42" s="17">
        <f>10464+4122+0</f>
        <v>14586</v>
      </c>
      <c r="C42" s="17">
        <v>0</v>
      </c>
      <c r="D42" s="17">
        <f>1922+1535+2491</f>
        <v>5948</v>
      </c>
      <c r="E42" s="17">
        <f>506+282+142+136</f>
        <v>1066</v>
      </c>
      <c r="F42" s="17">
        <f>2206+5536+2146</f>
        <v>9888</v>
      </c>
      <c r="G42" s="17">
        <f>2973+3307+3566</f>
        <v>9846</v>
      </c>
      <c r="H42" s="17">
        <f>3562+1279</f>
        <v>4841</v>
      </c>
      <c r="I42" s="17">
        <f t="shared" si="7"/>
        <v>46175</v>
      </c>
    </row>
    <row r="43" spans="1:9" s="4" customFormat="1" ht="13.5" customHeight="1" x14ac:dyDescent="0.2">
      <c r="A43" s="24" t="s">
        <v>31</v>
      </c>
      <c r="B43" s="17">
        <f>9597+0+38</f>
        <v>9635</v>
      </c>
      <c r="C43" s="17">
        <v>330</v>
      </c>
      <c r="D43" s="17">
        <f>2520+3232+2016</f>
        <v>7768</v>
      </c>
      <c r="E43" s="17">
        <f>812+153+184+1853+186+599</f>
        <v>3787</v>
      </c>
      <c r="F43" s="17">
        <f>1344+2280+2858</f>
        <v>6482</v>
      </c>
      <c r="G43" s="17">
        <f>2998+2966+3369</f>
        <v>9333</v>
      </c>
      <c r="H43" s="17">
        <f>3039+847</f>
        <v>3886</v>
      </c>
      <c r="I43" s="17">
        <f t="shared" si="7"/>
        <v>41221</v>
      </c>
    </row>
    <row r="44" spans="1:9" s="2" customFormat="1" ht="13.5" customHeight="1" x14ac:dyDescent="0.2">
      <c r="A44" s="25" t="s">
        <v>17</v>
      </c>
      <c r="B44" s="23">
        <f t="shared" ref="B44:I44" si="8">SUM(B40:B43)</f>
        <v>82912</v>
      </c>
      <c r="C44" s="23">
        <f t="shared" si="8"/>
        <v>9623</v>
      </c>
      <c r="D44" s="23">
        <f t="shared" si="8"/>
        <v>24178</v>
      </c>
      <c r="E44" s="23">
        <f t="shared" si="8"/>
        <v>27800</v>
      </c>
      <c r="F44" s="23">
        <f t="shared" si="8"/>
        <v>26029</v>
      </c>
      <c r="G44" s="23">
        <f t="shared" si="8"/>
        <v>40634</v>
      </c>
      <c r="H44" s="23">
        <f t="shared" si="8"/>
        <v>17457</v>
      </c>
      <c r="I44" s="23">
        <f t="shared" si="8"/>
        <v>228633</v>
      </c>
    </row>
    <row r="45" spans="1:9" s="4" customFormat="1" ht="13.5" customHeight="1" x14ac:dyDescent="0.2">
      <c r="A45" s="25" t="s">
        <v>22</v>
      </c>
      <c r="B45" s="17"/>
      <c r="C45" s="17"/>
      <c r="D45" s="17"/>
      <c r="E45" s="17"/>
      <c r="F45" s="17"/>
      <c r="G45" s="17"/>
      <c r="H45" s="17"/>
      <c r="I45" s="17"/>
    </row>
    <row r="46" spans="1:9" s="4" customFormat="1" ht="13.5" customHeight="1" x14ac:dyDescent="0.2">
      <c r="A46" s="24" t="s">
        <v>28</v>
      </c>
      <c r="B46" s="17">
        <v>31257</v>
      </c>
      <c r="C46" s="17">
        <v>2428</v>
      </c>
      <c r="D46" s="17">
        <v>8063</v>
      </c>
      <c r="E46" s="17">
        <f>(12072716+4046343)/1000</f>
        <v>16119.058999999999</v>
      </c>
      <c r="F46" s="17">
        <v>3916</v>
      </c>
      <c r="G46" s="17">
        <v>9738</v>
      </c>
      <c r="H46" s="17">
        <f>3844.94099999999+879</f>
        <v>4723.9409999999898</v>
      </c>
      <c r="I46" s="17">
        <f t="shared" ref="I46:I49" si="9">SUM(B46:H46)</f>
        <v>76245</v>
      </c>
    </row>
    <row r="47" spans="1:9" s="4" customFormat="1" ht="13.5" customHeight="1" x14ac:dyDescent="0.2">
      <c r="A47" s="24" t="s">
        <v>29</v>
      </c>
      <c r="B47" s="17">
        <f>54940-B46</f>
        <v>23683</v>
      </c>
      <c r="C47" s="17">
        <f>9888-C46</f>
        <v>7460</v>
      </c>
      <c r="D47" s="17">
        <v>10176</v>
      </c>
      <c r="E47" s="17">
        <f>(5809060+994740)/1000</f>
        <v>6803.8</v>
      </c>
      <c r="F47" s="17">
        <v>2423</v>
      </c>
      <c r="G47" s="17">
        <f>19494-G46</f>
        <v>9756</v>
      </c>
      <c r="H47" s="17">
        <f>3604.2+3018</f>
        <v>6622.2</v>
      </c>
      <c r="I47" s="17">
        <f t="shared" si="9"/>
        <v>66924</v>
      </c>
    </row>
    <row r="48" spans="1:9" s="4" customFormat="1" ht="13.5" customHeight="1" x14ac:dyDescent="0.2">
      <c r="A48" s="24" t="s">
        <v>30</v>
      </c>
      <c r="B48" s="17">
        <f>9919+9111+0</f>
        <v>19030</v>
      </c>
      <c r="C48" s="17">
        <f>357+183</f>
        <v>540</v>
      </c>
      <c r="D48" s="17">
        <v>12789</v>
      </c>
      <c r="E48" s="17">
        <f>(3317272+254541)/1000</f>
        <v>3571.8130000000001</v>
      </c>
      <c r="F48" s="17">
        <v>10980</v>
      </c>
      <c r="G48" s="17">
        <f>2919+2894+2608</f>
        <v>8421</v>
      </c>
      <c r="H48" s="17">
        <f>3972.187+2339</f>
        <v>6311.1869999999999</v>
      </c>
      <c r="I48" s="17">
        <f t="shared" si="9"/>
        <v>61643</v>
      </c>
    </row>
    <row r="49" spans="1:9" s="4" customFormat="1" ht="13.5" customHeight="1" x14ac:dyDescent="0.2">
      <c r="A49" s="24" t="s">
        <v>31</v>
      </c>
      <c r="B49" s="17">
        <v>6651</v>
      </c>
      <c r="C49" s="17">
        <v>0</v>
      </c>
      <c r="D49" s="17">
        <v>14891</v>
      </c>
      <c r="E49" s="17">
        <f>(1971584+5098259)/1000</f>
        <v>7069.8429999999998</v>
      </c>
      <c r="F49" s="17">
        <v>9086</v>
      </c>
      <c r="G49" s="17">
        <v>8590</v>
      </c>
      <c r="H49" s="17">
        <f>2516.157+1396</f>
        <v>3912.1570000000002</v>
      </c>
      <c r="I49" s="17">
        <f t="shared" si="9"/>
        <v>50200</v>
      </c>
    </row>
    <row r="50" spans="1:9" s="2" customFormat="1" ht="13.5" customHeight="1" x14ac:dyDescent="0.2">
      <c r="A50" s="25" t="s">
        <v>17</v>
      </c>
      <c r="B50" s="23">
        <f t="shared" ref="B50:I50" si="10">SUM(B46:B49)</f>
        <v>80621</v>
      </c>
      <c r="C50" s="23">
        <f t="shared" si="10"/>
        <v>10428</v>
      </c>
      <c r="D50" s="23">
        <f t="shared" si="10"/>
        <v>45919</v>
      </c>
      <c r="E50" s="23">
        <f t="shared" si="10"/>
        <v>33564.514999999999</v>
      </c>
      <c r="F50" s="23">
        <f t="shared" si="10"/>
        <v>26405</v>
      </c>
      <c r="G50" s="23">
        <f t="shared" si="10"/>
        <v>36505</v>
      </c>
      <c r="H50" s="23">
        <f t="shared" si="10"/>
        <v>21569.484999999986</v>
      </c>
      <c r="I50" s="23">
        <f t="shared" si="10"/>
        <v>255012</v>
      </c>
    </row>
    <row r="51" spans="1:9" s="4" customFormat="1" ht="13.5" customHeight="1" x14ac:dyDescent="0.2">
      <c r="A51" s="25" t="s">
        <v>23</v>
      </c>
      <c r="B51" s="17"/>
      <c r="C51" s="17"/>
      <c r="D51" s="17"/>
      <c r="E51" s="17"/>
      <c r="F51" s="17"/>
      <c r="G51" s="17"/>
      <c r="H51" s="17"/>
      <c r="I51" s="17"/>
    </row>
    <row r="52" spans="1:9" s="4" customFormat="1" ht="13.5" customHeight="1" x14ac:dyDescent="0.2">
      <c r="A52" s="24" t="s">
        <v>28</v>
      </c>
      <c r="B52" s="17">
        <v>27332</v>
      </c>
      <c r="C52" s="17">
        <v>468</v>
      </c>
      <c r="D52" s="17">
        <v>11215</v>
      </c>
      <c r="E52" s="17">
        <f>6184+20169</f>
        <v>26353</v>
      </c>
      <c r="F52" s="17">
        <v>5754</v>
      </c>
      <c r="G52" s="17">
        <v>7580</v>
      </c>
      <c r="H52" s="17">
        <f>4703+484</f>
        <v>5187</v>
      </c>
      <c r="I52" s="17">
        <f t="shared" ref="I52:I55" si="11">SUM(B52:H52)</f>
        <v>83889</v>
      </c>
    </row>
    <row r="53" spans="1:9" s="4" customFormat="1" ht="13.5" customHeight="1" x14ac:dyDescent="0.2">
      <c r="A53" s="24" t="s">
        <v>29</v>
      </c>
      <c r="B53" s="17">
        <v>31737</v>
      </c>
      <c r="C53" s="17">
        <v>4531</v>
      </c>
      <c r="D53" s="17">
        <v>10828</v>
      </c>
      <c r="E53" s="17">
        <f>15616+3583</f>
        <v>19199</v>
      </c>
      <c r="F53" s="17">
        <v>2420</v>
      </c>
      <c r="G53" s="17">
        <v>7453</v>
      </c>
      <c r="H53" s="17">
        <f>8533+989</f>
        <v>9522</v>
      </c>
      <c r="I53" s="17">
        <f t="shared" si="11"/>
        <v>85690</v>
      </c>
    </row>
    <row r="54" spans="1:9" s="4" customFormat="1" ht="13.5" customHeight="1" x14ac:dyDescent="0.2">
      <c r="A54" s="24" t="s">
        <v>30</v>
      </c>
      <c r="B54" s="17">
        <v>23243</v>
      </c>
      <c r="C54" s="17">
        <v>610</v>
      </c>
      <c r="D54" s="17">
        <v>9034</v>
      </c>
      <c r="E54" s="17">
        <f>5924+1003</f>
        <v>6927</v>
      </c>
      <c r="F54" s="17">
        <v>15029</v>
      </c>
      <c r="G54" s="17">
        <v>6737</v>
      </c>
      <c r="H54" s="17">
        <f>2729+1635</f>
        <v>4364</v>
      </c>
      <c r="I54" s="17">
        <f t="shared" si="11"/>
        <v>65944</v>
      </c>
    </row>
    <row r="55" spans="1:9" s="4" customFormat="1" ht="13.5" customHeight="1" x14ac:dyDescent="0.2">
      <c r="A55" s="24" t="s">
        <v>31</v>
      </c>
      <c r="B55" s="17">
        <v>13191</v>
      </c>
      <c r="C55" s="17">
        <v>0</v>
      </c>
      <c r="D55" s="17">
        <v>12997</v>
      </c>
      <c r="E55" s="17">
        <f>3173+2639</f>
        <v>5812</v>
      </c>
      <c r="F55" s="17">
        <v>7939</v>
      </c>
      <c r="G55" s="17">
        <v>7336</v>
      </c>
      <c r="H55" s="17">
        <f>2221+822</f>
        <v>3043</v>
      </c>
      <c r="I55" s="17">
        <f t="shared" si="11"/>
        <v>50318</v>
      </c>
    </row>
    <row r="56" spans="1:9" s="2" customFormat="1" ht="13.5" customHeight="1" x14ac:dyDescent="0.2">
      <c r="A56" s="25" t="s">
        <v>17</v>
      </c>
      <c r="B56" s="23">
        <f t="shared" ref="B56:I56" si="12">SUM(B52:B55)</f>
        <v>95503</v>
      </c>
      <c r="C56" s="23">
        <f t="shared" si="12"/>
        <v>5609</v>
      </c>
      <c r="D56" s="23">
        <f t="shared" si="12"/>
        <v>44074</v>
      </c>
      <c r="E56" s="23">
        <f t="shared" si="12"/>
        <v>58291</v>
      </c>
      <c r="F56" s="23">
        <f t="shared" si="12"/>
        <v>31142</v>
      </c>
      <c r="G56" s="23">
        <f t="shared" si="12"/>
        <v>29106</v>
      </c>
      <c r="H56" s="23">
        <f t="shared" si="12"/>
        <v>22116</v>
      </c>
      <c r="I56" s="23">
        <f t="shared" si="12"/>
        <v>285841</v>
      </c>
    </row>
  </sheetData>
  <phoneticPr fontId="0" type="noConversion"/>
  <printOptions horizontalCentered="1"/>
  <pageMargins left="0.5" right="0.5" top="0.5" bottom="0.5" header="0.5" footer="0.25"/>
  <pageSetup scale="85" orientation="portrait" r:id="rId1"/>
  <headerFooter alignWithMargins="0">
    <oddHeader xml:space="preserve">&amp;C
</oddHeader>
    <oddFooter xml:space="preserve">&amp;C&amp;"Arial,Regular"&amp;P&amp;R&amp;"Arial,Bold"&amp;12 </oddFooter>
  </headerFooter>
  <ignoredErrors>
    <ignoredError sqref="A6:A10 A21 A27 A33 A39 A45 A51 A11:A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L65"/>
  <sheetViews>
    <sheetView showGridLines="0" zoomScaleNormal="100" workbookViewId="0">
      <pane xSplit="1" ySplit="5" topLeftCell="B39" activePane="bottomRight" state="frozen"/>
      <selection pane="topRight" activeCell="B1" sqref="B1"/>
      <selection pane="bottomLeft" activeCell="A10" sqref="A10"/>
      <selection pane="bottomRight"/>
    </sheetView>
  </sheetViews>
  <sheetFormatPr defaultColWidth="9.625" defaultRowHeight="12" x14ac:dyDescent="0.15"/>
  <cols>
    <col min="1" max="1" width="11.5" customWidth="1"/>
    <col min="2" max="6" width="9.625" customWidth="1"/>
    <col min="7" max="7" width="10.25" customWidth="1"/>
    <col min="8" max="8" width="9.625" customWidth="1"/>
    <col min="9" max="9" width="10.25" customWidth="1"/>
    <col min="10" max="10" width="10.5" customWidth="1"/>
    <col min="11" max="11" width="15.25" style="10" customWidth="1"/>
    <col min="12" max="12" width="30.5" bestFit="1" customWidth="1"/>
    <col min="13" max="14" width="15" bestFit="1" customWidth="1"/>
  </cols>
  <sheetData>
    <row r="1" spans="1:12" ht="18" customHeight="1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20"/>
      <c r="L1" s="19"/>
    </row>
    <row r="2" spans="1:12" ht="14.2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20"/>
      <c r="L2" s="19"/>
    </row>
    <row r="3" spans="1:12" ht="15.75" customHeight="1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  <c r="K3" s="6"/>
    </row>
    <row r="4" spans="1:12" s="4" customFormat="1" ht="15" customHeight="1" x14ac:dyDescent="0.2">
      <c r="A4" s="3"/>
      <c r="B4" s="3"/>
      <c r="C4" s="3"/>
      <c r="D4" s="3"/>
      <c r="E4" s="42" t="s">
        <v>1</v>
      </c>
      <c r="F4" s="42" t="s">
        <v>2</v>
      </c>
      <c r="G4" s="42"/>
      <c r="H4" s="3"/>
      <c r="I4" s="3"/>
      <c r="J4" s="3"/>
      <c r="K4" s="8"/>
    </row>
    <row r="5" spans="1:12" s="4" customFormat="1" ht="14.25" customHeight="1" x14ac:dyDescent="0.2">
      <c r="A5" s="5" t="s">
        <v>3</v>
      </c>
      <c r="B5" s="5" t="s">
        <v>4</v>
      </c>
      <c r="C5" s="5" t="s">
        <v>32</v>
      </c>
      <c r="D5" s="5" t="s">
        <v>33</v>
      </c>
      <c r="E5" s="43" t="s">
        <v>37</v>
      </c>
      <c r="F5" s="43" t="s">
        <v>5</v>
      </c>
      <c r="G5" s="43" t="s">
        <v>6</v>
      </c>
      <c r="H5" s="5" t="s">
        <v>36</v>
      </c>
      <c r="I5" s="5" t="s">
        <v>35</v>
      </c>
      <c r="J5" s="16" t="s">
        <v>17</v>
      </c>
      <c r="K5" s="8"/>
    </row>
    <row r="6" spans="1:12" s="4" customFormat="1" ht="16.5" customHeight="1" x14ac:dyDescent="0.2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8"/>
    </row>
    <row r="7" spans="1:12" s="4" customFormat="1" ht="13.5" customHeight="1" x14ac:dyDescent="0.2">
      <c r="A7" s="24" t="s">
        <v>28</v>
      </c>
      <c r="B7" s="17">
        <v>32160</v>
      </c>
      <c r="C7" s="17">
        <v>609</v>
      </c>
      <c r="D7" s="17">
        <v>8074</v>
      </c>
      <c r="E7" s="17">
        <f>27129+3868</f>
        <v>30997</v>
      </c>
      <c r="F7" s="17">
        <v>3409</v>
      </c>
      <c r="G7" s="17">
        <f>2651+3178+2649</f>
        <v>8478</v>
      </c>
      <c r="H7" s="12">
        <v>0</v>
      </c>
      <c r="I7" s="17">
        <f>9184+518</f>
        <v>9702</v>
      </c>
      <c r="J7" s="17">
        <f>SUM(B7:I7)</f>
        <v>93429</v>
      </c>
      <c r="K7" s="8"/>
    </row>
    <row r="8" spans="1:12" s="4" customFormat="1" ht="13.5" customHeight="1" x14ac:dyDescent="0.2">
      <c r="A8" s="24" t="s">
        <v>29</v>
      </c>
      <c r="B8" s="17">
        <f>60+15580+16264</f>
        <v>31904</v>
      </c>
      <c r="C8" s="17">
        <f>3965+3405</f>
        <v>7370</v>
      </c>
      <c r="D8" s="17">
        <v>13384</v>
      </c>
      <c r="E8" s="17">
        <f>16696+916</f>
        <v>17612</v>
      </c>
      <c r="F8" s="17">
        <v>2174</v>
      </c>
      <c r="G8" s="17">
        <f>3042+2626+3145</f>
        <v>8813</v>
      </c>
      <c r="H8" s="12">
        <v>0</v>
      </c>
      <c r="I8" s="17">
        <f>5577+1042</f>
        <v>6619</v>
      </c>
      <c r="J8" s="17">
        <f>SUM(B8:I8)</f>
        <v>87876</v>
      </c>
      <c r="K8" s="8"/>
    </row>
    <row r="9" spans="1:12" s="4" customFormat="1" ht="13.5" customHeight="1" x14ac:dyDescent="0.2">
      <c r="A9" s="24" t="s">
        <v>30</v>
      </c>
      <c r="B9" s="17">
        <f>19705+8316+2071</f>
        <v>30092</v>
      </c>
      <c r="C9" s="17">
        <f>2035+455+557</f>
        <v>3047</v>
      </c>
      <c r="D9" s="17">
        <v>16750</v>
      </c>
      <c r="E9" s="17">
        <f>1438+4269</f>
        <v>5707</v>
      </c>
      <c r="F9" s="17">
        <v>11124</v>
      </c>
      <c r="G9" s="17">
        <f>2805+3706+3226</f>
        <v>9737</v>
      </c>
      <c r="H9" s="12">
        <v>0</v>
      </c>
      <c r="I9" s="17">
        <f>4052+618</f>
        <v>4670</v>
      </c>
      <c r="J9" s="17">
        <f>SUM(B9:I9)</f>
        <v>81127</v>
      </c>
      <c r="K9" s="8"/>
    </row>
    <row r="10" spans="1:12" s="4" customFormat="1" ht="13.5" customHeight="1" x14ac:dyDescent="0.2">
      <c r="A10" s="24" t="s">
        <v>31</v>
      </c>
      <c r="B10" s="17">
        <f>43+36+57</f>
        <v>136</v>
      </c>
      <c r="C10" s="17">
        <v>0</v>
      </c>
      <c r="D10" s="17">
        <v>19193</v>
      </c>
      <c r="E10" s="17">
        <f>1997+2576+272</f>
        <v>4845</v>
      </c>
      <c r="F10" s="17">
        <v>7631</v>
      </c>
      <c r="G10" s="17">
        <f>2955+3102+2564</f>
        <v>8621</v>
      </c>
      <c r="H10" s="12">
        <v>0</v>
      </c>
      <c r="I10" s="17">
        <f>3695+548</f>
        <v>4243</v>
      </c>
      <c r="J10" s="17">
        <f>SUM(B10:I10)</f>
        <v>44669</v>
      </c>
      <c r="K10" s="8"/>
    </row>
    <row r="11" spans="1:12" s="4" customFormat="1" ht="13.5" customHeight="1" x14ac:dyDescent="0.2">
      <c r="A11" s="25" t="s">
        <v>17</v>
      </c>
      <c r="B11" s="23">
        <f t="shared" ref="B11:G11" si="0">SUM(B7:B10)</f>
        <v>94292</v>
      </c>
      <c r="C11" s="23">
        <f t="shared" si="0"/>
        <v>11026</v>
      </c>
      <c r="D11" s="23">
        <f t="shared" si="0"/>
        <v>57401</v>
      </c>
      <c r="E11" s="23">
        <f t="shared" si="0"/>
        <v>59161</v>
      </c>
      <c r="F11" s="23">
        <f t="shared" si="0"/>
        <v>24338</v>
      </c>
      <c r="G11" s="23">
        <f t="shared" si="0"/>
        <v>35649</v>
      </c>
      <c r="H11" s="48">
        <f>SUM(H7:H10)</f>
        <v>0</v>
      </c>
      <c r="I11" s="23">
        <f>SUM(I7:I10)</f>
        <v>25234</v>
      </c>
      <c r="J11" s="23">
        <f>SUM(B11:I11)</f>
        <v>307101</v>
      </c>
      <c r="K11" s="9"/>
    </row>
    <row r="12" spans="1:12" s="4" customFormat="1" ht="13.5" customHeight="1" x14ac:dyDescent="0.2">
      <c r="A12" s="25" t="s">
        <v>25</v>
      </c>
      <c r="B12" s="17"/>
      <c r="C12" s="17"/>
      <c r="D12" s="17"/>
      <c r="E12" s="17"/>
      <c r="F12" s="17"/>
      <c r="G12" s="17"/>
      <c r="H12" s="17"/>
      <c r="I12" s="17"/>
      <c r="J12" s="17"/>
      <c r="K12" s="8"/>
    </row>
    <row r="13" spans="1:12" s="4" customFormat="1" ht="13.5" customHeight="1" x14ac:dyDescent="0.2">
      <c r="A13" s="24" t="s">
        <v>28</v>
      </c>
      <c r="B13" s="17">
        <f>6779+13640+6796</f>
        <v>27215</v>
      </c>
      <c r="C13" s="17">
        <v>483</v>
      </c>
      <c r="D13" s="17">
        <v>11533</v>
      </c>
      <c r="E13" s="17">
        <f>1137+1684+9029+1250+703+8326</f>
        <v>22129</v>
      </c>
      <c r="F13" s="17">
        <f>1052+1445+494</f>
        <v>2991</v>
      </c>
      <c r="G13" s="17">
        <f>3980+3565+3128</f>
        <v>10673</v>
      </c>
      <c r="H13" s="12">
        <v>0</v>
      </c>
      <c r="I13" s="17">
        <f>17663+475</f>
        <v>18138</v>
      </c>
      <c r="J13" s="17">
        <f>SUM(B13:I13)</f>
        <v>93162</v>
      </c>
      <c r="K13" s="8"/>
    </row>
    <row r="14" spans="1:12" s="4" customFormat="1" ht="13.5" customHeight="1" x14ac:dyDescent="0.2">
      <c r="A14" s="24" t="s">
        <v>29</v>
      </c>
      <c r="B14" s="17">
        <f>6692+12808+12943</f>
        <v>32443</v>
      </c>
      <c r="C14" s="17">
        <f>679+466</f>
        <v>1145</v>
      </c>
      <c r="D14" s="17">
        <v>14364</v>
      </c>
      <c r="E14" s="17">
        <f>11623+99+4834+269+674+349</f>
        <v>17848</v>
      </c>
      <c r="F14" s="17">
        <v>4124</v>
      </c>
      <c r="G14" s="17">
        <f>3561+3437+2950</f>
        <v>9948</v>
      </c>
      <c r="H14" s="12">
        <v>0</v>
      </c>
      <c r="I14" s="17">
        <f>14259+1873</f>
        <v>16132</v>
      </c>
      <c r="J14" s="17">
        <f>SUM(B14:I14)</f>
        <v>96004</v>
      </c>
      <c r="K14" s="8"/>
    </row>
    <row r="15" spans="1:12" s="4" customFormat="1" ht="13.5" customHeight="1" x14ac:dyDescent="0.2">
      <c r="A15" s="24" t="s">
        <v>30</v>
      </c>
      <c r="B15" s="17">
        <f>13202+5406+9930</f>
        <v>28538</v>
      </c>
      <c r="C15" s="17">
        <f>4370+641</f>
        <v>5011</v>
      </c>
      <c r="D15" s="17">
        <v>14353</v>
      </c>
      <c r="E15" s="17">
        <v>5218</v>
      </c>
      <c r="F15" s="17">
        <v>12257</v>
      </c>
      <c r="G15" s="17">
        <f>3012+2578+2870</f>
        <v>8460</v>
      </c>
      <c r="H15" s="12">
        <v>0</v>
      </c>
      <c r="I15" s="17">
        <f>6278+1999</f>
        <v>8277</v>
      </c>
      <c r="J15" s="17">
        <f>SUM(B15:I15)</f>
        <v>82114</v>
      </c>
      <c r="K15" s="8"/>
    </row>
    <row r="16" spans="1:12" s="4" customFormat="1" ht="13.5" customHeight="1" x14ac:dyDescent="0.2">
      <c r="A16" s="24" t="s">
        <v>31</v>
      </c>
      <c r="B16" s="17">
        <f>9+3685+12</f>
        <v>3706</v>
      </c>
      <c r="C16" s="17">
        <v>0</v>
      </c>
      <c r="D16" s="17">
        <v>11965</v>
      </c>
      <c r="E16" s="17">
        <v>2921</v>
      </c>
      <c r="F16" s="17">
        <v>15661</v>
      </c>
      <c r="G16" s="17">
        <f>3182+2840+1903</f>
        <v>7925</v>
      </c>
      <c r="H16" s="12">
        <v>0</v>
      </c>
      <c r="I16" s="17">
        <f>3727+931</f>
        <v>4658</v>
      </c>
      <c r="J16" s="17">
        <f>SUM(B16:I16)</f>
        <v>46836</v>
      </c>
      <c r="K16" s="8"/>
    </row>
    <row r="17" spans="1:11" s="4" customFormat="1" ht="13.5" customHeight="1" x14ac:dyDescent="0.2">
      <c r="A17" s="25" t="s">
        <v>17</v>
      </c>
      <c r="B17" s="23">
        <f t="shared" ref="B17:J17" si="1">SUM(B13:B16)</f>
        <v>91902</v>
      </c>
      <c r="C17" s="23">
        <f t="shared" si="1"/>
        <v>6639</v>
      </c>
      <c r="D17" s="23">
        <f t="shared" si="1"/>
        <v>52215</v>
      </c>
      <c r="E17" s="23">
        <f t="shared" si="1"/>
        <v>48116</v>
      </c>
      <c r="F17" s="23">
        <f t="shared" si="1"/>
        <v>35033</v>
      </c>
      <c r="G17" s="23">
        <f t="shared" si="1"/>
        <v>37006</v>
      </c>
      <c r="H17" s="48">
        <f>SUM(H13:H16)</f>
        <v>0</v>
      </c>
      <c r="I17" s="23">
        <f t="shared" si="1"/>
        <v>47205</v>
      </c>
      <c r="J17" s="23">
        <f t="shared" si="1"/>
        <v>318116</v>
      </c>
      <c r="K17" s="9"/>
    </row>
    <row r="18" spans="1:11" s="4" customFormat="1" ht="13.5" customHeight="1" x14ac:dyDescent="0.2">
      <c r="A18" s="26">
        <v>1998</v>
      </c>
      <c r="B18" s="17"/>
      <c r="C18" s="17"/>
      <c r="D18" s="17"/>
      <c r="E18" s="17"/>
      <c r="F18" s="17"/>
      <c r="G18" s="17"/>
      <c r="H18" s="17"/>
      <c r="I18" s="17"/>
      <c r="J18" s="17"/>
      <c r="K18" s="8"/>
    </row>
    <row r="19" spans="1:11" s="4" customFormat="1" ht="13.5" customHeight="1" x14ac:dyDescent="0.2">
      <c r="A19" s="24" t="s">
        <v>28</v>
      </c>
      <c r="B19" s="17">
        <v>28586</v>
      </c>
      <c r="C19" s="17">
        <v>682</v>
      </c>
      <c r="D19" s="17">
        <v>8945</v>
      </c>
      <c r="E19" s="17">
        <v>23466</v>
      </c>
      <c r="F19" s="17">
        <v>5053</v>
      </c>
      <c r="G19" s="17">
        <v>9392</v>
      </c>
      <c r="H19" s="12">
        <v>0</v>
      </c>
      <c r="I19" s="17">
        <f>17044+540</f>
        <v>17584</v>
      </c>
      <c r="J19" s="17">
        <f>SUM(B19:I19)</f>
        <v>93708</v>
      </c>
      <c r="K19" s="8"/>
    </row>
    <row r="20" spans="1:11" s="4" customFormat="1" ht="13.5" customHeight="1" x14ac:dyDescent="0.2">
      <c r="A20" s="24" t="s">
        <v>29</v>
      </c>
      <c r="B20" s="17">
        <v>32914</v>
      </c>
      <c r="C20" s="17">
        <v>1139</v>
      </c>
      <c r="D20" s="17">
        <v>12559</v>
      </c>
      <c r="E20" s="17">
        <v>15063</v>
      </c>
      <c r="F20" s="17">
        <v>6283</v>
      </c>
      <c r="G20" s="17">
        <v>9742</v>
      </c>
      <c r="H20" s="12">
        <v>0</v>
      </c>
      <c r="I20" s="17">
        <f>12992+1622</f>
        <v>14614</v>
      </c>
      <c r="J20" s="17">
        <f>SUM(B20:I20)</f>
        <v>92314</v>
      </c>
      <c r="K20" s="8"/>
    </row>
    <row r="21" spans="1:11" s="4" customFormat="1" ht="13.5" customHeight="1" x14ac:dyDescent="0.2">
      <c r="A21" s="24" t="s">
        <v>30</v>
      </c>
      <c r="B21" s="17">
        <v>24479</v>
      </c>
      <c r="C21" s="17">
        <v>412</v>
      </c>
      <c r="D21" s="17">
        <v>15165</v>
      </c>
      <c r="E21" s="17">
        <v>1950</v>
      </c>
      <c r="F21" s="17">
        <v>16633</v>
      </c>
      <c r="G21" s="17">
        <v>10575</v>
      </c>
      <c r="H21" s="12">
        <v>0</v>
      </c>
      <c r="I21" s="17">
        <f>5388+2172</f>
        <v>7560</v>
      </c>
      <c r="J21" s="17">
        <f>SUM(B21:I21)</f>
        <v>76774</v>
      </c>
      <c r="K21" s="8"/>
    </row>
    <row r="22" spans="1:11" s="4" customFormat="1" ht="13.5" customHeight="1" x14ac:dyDescent="0.2">
      <c r="A22" s="24" t="s">
        <v>31</v>
      </c>
      <c r="B22" s="17">
        <v>3047</v>
      </c>
      <c r="C22" s="17">
        <v>0</v>
      </c>
      <c r="D22" s="17">
        <f>12707+2325</f>
        <v>15032</v>
      </c>
      <c r="E22" s="17">
        <v>2603</v>
      </c>
      <c r="F22" s="17">
        <f>15545-125</f>
        <v>15420</v>
      </c>
      <c r="G22" s="17">
        <v>9650</v>
      </c>
      <c r="H22" s="12">
        <v>0</v>
      </c>
      <c r="I22" s="17">
        <f>3118+993</f>
        <v>4111</v>
      </c>
      <c r="J22" s="17">
        <f>SUM(B22:I22)</f>
        <v>49863</v>
      </c>
      <c r="K22" s="8"/>
    </row>
    <row r="23" spans="1:11" s="4" customFormat="1" ht="13.5" customHeight="1" x14ac:dyDescent="0.2">
      <c r="A23" s="25" t="s">
        <v>17</v>
      </c>
      <c r="B23" s="23">
        <f t="shared" ref="B23:J23" si="2">SUM(B19:B22)</f>
        <v>89026</v>
      </c>
      <c r="C23" s="23">
        <f t="shared" si="2"/>
        <v>2233</v>
      </c>
      <c r="D23" s="23">
        <f t="shared" si="2"/>
        <v>51701</v>
      </c>
      <c r="E23" s="23">
        <f t="shared" si="2"/>
        <v>43082</v>
      </c>
      <c r="F23" s="23">
        <f t="shared" si="2"/>
        <v>43389</v>
      </c>
      <c r="G23" s="23">
        <f t="shared" si="2"/>
        <v>39359</v>
      </c>
      <c r="H23" s="48">
        <f>SUM(H19:H22)</f>
        <v>0</v>
      </c>
      <c r="I23" s="23">
        <f t="shared" si="2"/>
        <v>43869</v>
      </c>
      <c r="J23" s="23">
        <f t="shared" si="2"/>
        <v>312659</v>
      </c>
      <c r="K23" s="9"/>
    </row>
    <row r="24" spans="1:11" s="4" customFormat="1" ht="13.5" customHeight="1" x14ac:dyDescent="0.2">
      <c r="A24" s="27">
        <v>1999</v>
      </c>
      <c r="B24" s="17"/>
      <c r="C24" s="17"/>
      <c r="D24" s="17"/>
      <c r="E24" s="17"/>
      <c r="F24" s="17"/>
      <c r="G24" s="17"/>
      <c r="H24" s="17"/>
      <c r="I24" s="17"/>
      <c r="J24" s="17"/>
      <c r="K24" s="8"/>
    </row>
    <row r="25" spans="1:11" s="4" customFormat="1" ht="13.5" customHeight="1" x14ac:dyDescent="0.2">
      <c r="A25" s="24" t="s">
        <v>28</v>
      </c>
      <c r="B25" s="17">
        <v>27303</v>
      </c>
      <c r="C25" s="17">
        <v>120</v>
      </c>
      <c r="D25" s="17">
        <v>9521</v>
      </c>
      <c r="E25" s="17">
        <v>27200</v>
      </c>
      <c r="F25" s="17">
        <v>7205</v>
      </c>
      <c r="G25" s="17">
        <v>12176</v>
      </c>
      <c r="H25" s="12">
        <v>0</v>
      </c>
      <c r="I25" s="17">
        <f>18545+800</f>
        <v>19345</v>
      </c>
      <c r="J25" s="17">
        <f>SUM(B25:I25)</f>
        <v>102870</v>
      </c>
      <c r="K25" s="8"/>
    </row>
    <row r="26" spans="1:11" s="4" customFormat="1" ht="13.5" customHeight="1" x14ac:dyDescent="0.2">
      <c r="A26" s="24" t="s">
        <v>29</v>
      </c>
      <c r="B26" s="17">
        <v>30211</v>
      </c>
      <c r="C26" s="17">
        <v>224</v>
      </c>
      <c r="D26" s="17">
        <v>11834</v>
      </c>
      <c r="E26" s="17">
        <v>12841</v>
      </c>
      <c r="F26" s="17">
        <v>4366</v>
      </c>
      <c r="G26" s="17">
        <v>11235</v>
      </c>
      <c r="H26" s="12">
        <v>0</v>
      </c>
      <c r="I26" s="17">
        <f>11484+978</f>
        <v>12462</v>
      </c>
      <c r="J26" s="17">
        <f>SUM(B26:I26)</f>
        <v>83173</v>
      </c>
      <c r="K26" s="8"/>
    </row>
    <row r="27" spans="1:11" s="4" customFormat="1" ht="13.5" customHeight="1" x14ac:dyDescent="0.2">
      <c r="A27" s="24" t="s">
        <v>30</v>
      </c>
      <c r="B27" s="17">
        <v>28093</v>
      </c>
      <c r="C27" s="17">
        <v>92</v>
      </c>
      <c r="D27" s="17">
        <v>17538</v>
      </c>
      <c r="E27" s="17">
        <v>17006</v>
      </c>
      <c r="F27" s="17">
        <v>19107</v>
      </c>
      <c r="G27" s="17">
        <v>8759</v>
      </c>
      <c r="H27" s="12">
        <v>0</v>
      </c>
      <c r="I27" s="17">
        <f>5674+1535</f>
        <v>7209</v>
      </c>
      <c r="J27" s="17">
        <f>SUM(B27:I27)</f>
        <v>97804</v>
      </c>
      <c r="K27" s="8"/>
    </row>
    <row r="28" spans="1:11" s="4" customFormat="1" ht="13.5" customHeight="1" x14ac:dyDescent="0.2">
      <c r="A28" s="24" t="s">
        <v>31</v>
      </c>
      <c r="B28" s="17">
        <v>1009</v>
      </c>
      <c r="C28" s="17">
        <v>0</v>
      </c>
      <c r="D28" s="17">
        <v>17941</v>
      </c>
      <c r="E28" s="17">
        <v>22053</v>
      </c>
      <c r="F28" s="17">
        <v>24888</v>
      </c>
      <c r="G28" s="17">
        <v>7089</v>
      </c>
      <c r="H28" s="12">
        <v>0</v>
      </c>
      <c r="I28" s="17">
        <f>5767+855</f>
        <v>6622</v>
      </c>
      <c r="J28" s="17">
        <f>SUM(B28:I28)</f>
        <v>79602</v>
      </c>
      <c r="K28" s="8"/>
    </row>
    <row r="29" spans="1:11" s="4" customFormat="1" ht="13.5" customHeight="1" x14ac:dyDescent="0.2">
      <c r="A29" s="25" t="s">
        <v>17</v>
      </c>
      <c r="B29" s="23">
        <f t="shared" ref="B29:J29" si="3">SUM(B25:B28)</f>
        <v>86616</v>
      </c>
      <c r="C29" s="23">
        <f t="shared" si="3"/>
        <v>436</v>
      </c>
      <c r="D29" s="23">
        <f t="shared" si="3"/>
        <v>56834</v>
      </c>
      <c r="E29" s="23">
        <f t="shared" si="3"/>
        <v>79100</v>
      </c>
      <c r="F29" s="23">
        <f t="shared" si="3"/>
        <v>55566</v>
      </c>
      <c r="G29" s="23">
        <f t="shared" si="3"/>
        <v>39259</v>
      </c>
      <c r="H29" s="48">
        <f>SUM(H25:H28)</f>
        <v>0</v>
      </c>
      <c r="I29" s="23">
        <f>SUM(I25:I28)</f>
        <v>45638</v>
      </c>
      <c r="J29" s="23">
        <f t="shared" si="3"/>
        <v>363449</v>
      </c>
      <c r="K29" s="9"/>
    </row>
    <row r="30" spans="1:11" s="4" customFormat="1" ht="13.5" customHeight="1" x14ac:dyDescent="0.2">
      <c r="A30" s="27">
        <v>2000</v>
      </c>
      <c r="B30" s="17"/>
      <c r="C30" s="17"/>
      <c r="D30" s="17"/>
      <c r="E30" s="17"/>
      <c r="F30" s="17"/>
      <c r="G30" s="17"/>
      <c r="H30" s="17"/>
      <c r="I30" s="17"/>
      <c r="J30" s="17"/>
      <c r="K30" s="8"/>
    </row>
    <row r="31" spans="1:11" s="4" customFormat="1" ht="13.5" customHeight="1" x14ac:dyDescent="0.2">
      <c r="A31" s="24" t="s">
        <v>28</v>
      </c>
      <c r="B31" s="17">
        <v>30145</v>
      </c>
      <c r="C31" s="17">
        <v>76</v>
      </c>
      <c r="D31" s="17">
        <v>12205</v>
      </c>
      <c r="E31" s="17">
        <v>5700</v>
      </c>
      <c r="F31" s="17">
        <v>7700</v>
      </c>
      <c r="G31" s="17">
        <v>9807</v>
      </c>
      <c r="H31" s="12">
        <v>1423</v>
      </c>
      <c r="I31" s="17">
        <f>18370+1455</f>
        <v>19825</v>
      </c>
      <c r="J31" s="17">
        <f>SUM(B31:I31)</f>
        <v>86881</v>
      </c>
      <c r="K31" s="8"/>
    </row>
    <row r="32" spans="1:11" s="4" customFormat="1" ht="13.5" customHeight="1" x14ac:dyDescent="0.2">
      <c r="A32" s="24" t="s">
        <v>29</v>
      </c>
      <c r="B32" s="17">
        <v>30059</v>
      </c>
      <c r="C32" s="17">
        <v>158</v>
      </c>
      <c r="D32" s="17">
        <v>17759</v>
      </c>
      <c r="E32" s="17">
        <v>34129</v>
      </c>
      <c r="F32" s="17">
        <v>8374</v>
      </c>
      <c r="G32" s="17">
        <v>10052</v>
      </c>
      <c r="H32" s="12">
        <v>3185</v>
      </c>
      <c r="I32" s="17">
        <f>16362+1518</f>
        <v>17880</v>
      </c>
      <c r="J32" s="17">
        <f>SUM(B32:I32)</f>
        <v>121596</v>
      </c>
      <c r="K32" s="8"/>
    </row>
    <row r="33" spans="1:12" s="4" customFormat="1" ht="13.5" customHeight="1" x14ac:dyDescent="0.2">
      <c r="A33" s="24" t="s">
        <v>30</v>
      </c>
      <c r="B33" s="17">
        <v>10219</v>
      </c>
      <c r="C33" s="17">
        <v>34</v>
      </c>
      <c r="D33" s="17">
        <v>22453</v>
      </c>
      <c r="E33" s="17">
        <v>7344</v>
      </c>
      <c r="F33" s="17">
        <v>25691</v>
      </c>
      <c r="G33" s="17">
        <v>10741</v>
      </c>
      <c r="H33" s="12">
        <v>2962</v>
      </c>
      <c r="I33" s="17">
        <f>4037+1200</f>
        <v>5237</v>
      </c>
      <c r="J33" s="17">
        <f>SUM(B33:I33)</f>
        <v>84681</v>
      </c>
      <c r="K33" s="8"/>
    </row>
    <row r="34" spans="1:12" s="4" customFormat="1" ht="13.5" customHeight="1" x14ac:dyDescent="0.2">
      <c r="A34" s="24" t="s">
        <v>31</v>
      </c>
      <c r="B34" s="17">
        <v>3809</v>
      </c>
      <c r="C34" s="17">
        <v>0</v>
      </c>
      <c r="D34" s="17">
        <v>13398</v>
      </c>
      <c r="E34" s="17">
        <v>13255</v>
      </c>
      <c r="F34" s="17">
        <v>24909</v>
      </c>
      <c r="G34" s="17">
        <v>9208</v>
      </c>
      <c r="H34" s="12">
        <v>2950</v>
      </c>
      <c r="I34" s="17">
        <f>3891+549</f>
        <v>4440</v>
      </c>
      <c r="J34" s="17">
        <f>SUM(B34:I34)</f>
        <v>71969</v>
      </c>
      <c r="K34" s="8"/>
    </row>
    <row r="35" spans="1:12" s="4" customFormat="1" ht="13.5" customHeight="1" x14ac:dyDescent="0.2">
      <c r="A35" s="25" t="s">
        <v>17</v>
      </c>
      <c r="B35" s="23">
        <f t="shared" ref="B35:J35" si="4">SUM(B31:B34)</f>
        <v>74232</v>
      </c>
      <c r="C35" s="23">
        <f t="shared" si="4"/>
        <v>268</v>
      </c>
      <c r="D35" s="23">
        <f t="shared" si="4"/>
        <v>65815</v>
      </c>
      <c r="E35" s="23">
        <f t="shared" si="4"/>
        <v>60428</v>
      </c>
      <c r="F35" s="23">
        <f t="shared" si="4"/>
        <v>66674</v>
      </c>
      <c r="G35" s="23">
        <f t="shared" si="4"/>
        <v>39808</v>
      </c>
      <c r="H35" s="23">
        <f t="shared" si="4"/>
        <v>10520</v>
      </c>
      <c r="I35" s="23">
        <f t="shared" si="4"/>
        <v>47382</v>
      </c>
      <c r="J35" s="23">
        <f t="shared" si="4"/>
        <v>365127</v>
      </c>
      <c r="K35" s="9"/>
    </row>
    <row r="36" spans="1:12" s="4" customFormat="1" ht="13.5" customHeight="1" x14ac:dyDescent="0.2">
      <c r="A36" s="27">
        <v>2001</v>
      </c>
      <c r="B36" s="17"/>
      <c r="C36" s="17"/>
      <c r="D36" s="17"/>
      <c r="E36" s="17"/>
      <c r="F36" s="17"/>
      <c r="G36" s="17"/>
      <c r="H36" s="17"/>
      <c r="I36" s="17"/>
      <c r="J36" s="17"/>
      <c r="K36" s="8"/>
    </row>
    <row r="37" spans="1:12" s="4" customFormat="1" ht="13.5" customHeight="1" x14ac:dyDescent="0.2">
      <c r="A37" s="24" t="s">
        <v>28</v>
      </c>
      <c r="B37" s="17">
        <v>19609</v>
      </c>
      <c r="C37" s="17">
        <v>636</v>
      </c>
      <c r="D37" s="17">
        <v>12874</v>
      </c>
      <c r="E37" s="17">
        <v>26437</v>
      </c>
      <c r="F37" s="17">
        <v>11042</v>
      </c>
      <c r="G37" s="17">
        <v>9653</v>
      </c>
      <c r="H37" s="17">
        <f>('[1]2001'!$B$93+'[1]2001'!$C$93+'[1]2001'!$D$93)</f>
        <v>2032.0926399999998</v>
      </c>
      <c r="I37" s="17">
        <f>6996+493</f>
        <v>7489</v>
      </c>
      <c r="J37" s="17">
        <f>SUM(B37:I37)</f>
        <v>89772.092640000003</v>
      </c>
      <c r="K37" s="8"/>
    </row>
    <row r="38" spans="1:12" s="4" customFormat="1" ht="13.5" customHeight="1" x14ac:dyDescent="0.2">
      <c r="A38" s="24" t="s">
        <v>29</v>
      </c>
      <c r="B38" s="17">
        <v>23065</v>
      </c>
      <c r="C38" s="17">
        <v>297</v>
      </c>
      <c r="D38" s="17">
        <v>14627</v>
      </c>
      <c r="E38" s="17">
        <v>24603</v>
      </c>
      <c r="F38" s="17">
        <v>13772</v>
      </c>
      <c r="G38" s="17">
        <v>8106</v>
      </c>
      <c r="H38" s="12">
        <f>('[1]2001'!$E$93+'[1]2001'!$F$93+'[1]2001'!$G$93)</f>
        <v>2925.0520699999997</v>
      </c>
      <c r="I38" s="17">
        <f>7742+792</f>
        <v>8534</v>
      </c>
      <c r="J38" s="17">
        <f>SUM(B38:I38)</f>
        <v>95929.052070000005</v>
      </c>
      <c r="K38" s="8"/>
    </row>
    <row r="39" spans="1:12" s="4" customFormat="1" ht="13.5" customHeight="1" x14ac:dyDescent="0.2">
      <c r="A39" s="24" t="s">
        <v>30</v>
      </c>
      <c r="B39" s="17">
        <v>15575</v>
      </c>
      <c r="C39" s="17">
        <v>716</v>
      </c>
      <c r="D39" s="17">
        <v>14190</v>
      </c>
      <c r="E39" s="17">
        <v>20398</v>
      </c>
      <c r="F39" s="17">
        <v>22242</v>
      </c>
      <c r="G39" s="17">
        <v>6716</v>
      </c>
      <c r="H39" s="12">
        <f>('[1]2001'!$H$93+'[1]2001'!$I$93+'[1]2001'!$J$93)</f>
        <v>2506.3639400000002</v>
      </c>
      <c r="I39" s="17">
        <f>3544+587</f>
        <v>4131</v>
      </c>
      <c r="J39" s="17">
        <f>SUM(B39:I39)</f>
        <v>86474.363939999996</v>
      </c>
      <c r="K39" s="8"/>
    </row>
    <row r="40" spans="1:12" s="4" customFormat="1" ht="13.5" customHeight="1" x14ac:dyDescent="0.2">
      <c r="A40" s="24" t="s">
        <v>31</v>
      </c>
      <c r="B40" s="17">
        <v>1121</v>
      </c>
      <c r="C40" s="17">
        <v>0</v>
      </c>
      <c r="D40" s="17">
        <v>1114</v>
      </c>
      <c r="E40" s="17">
        <v>15608</v>
      </c>
      <c r="F40" s="17">
        <v>16656</v>
      </c>
      <c r="G40" s="17">
        <v>5892</v>
      </c>
      <c r="H40" s="12">
        <f>('[1]2001'!$K$93+'[1]2001'!$L$93+'[1]2001'!$M$93)</f>
        <v>2651.6023100000002</v>
      </c>
      <c r="I40" s="17">
        <f>5349+442</f>
        <v>5791</v>
      </c>
      <c r="J40" s="17">
        <f>SUM(B40:I40)</f>
        <v>48833.602310000002</v>
      </c>
      <c r="K40" s="8"/>
    </row>
    <row r="41" spans="1:12" s="4" customFormat="1" ht="13.5" customHeight="1" x14ac:dyDescent="0.2">
      <c r="A41" s="25" t="s">
        <v>17</v>
      </c>
      <c r="B41" s="23">
        <f t="shared" ref="B41:J41" si="5">SUM(B37:B40)</f>
        <v>59370</v>
      </c>
      <c r="C41" s="23">
        <f t="shared" si="5"/>
        <v>1649</v>
      </c>
      <c r="D41" s="23">
        <f t="shared" si="5"/>
        <v>42805</v>
      </c>
      <c r="E41" s="23">
        <f t="shared" si="5"/>
        <v>87046</v>
      </c>
      <c r="F41" s="23">
        <f t="shared" si="5"/>
        <v>63712</v>
      </c>
      <c r="G41" s="23">
        <f t="shared" si="5"/>
        <v>30367</v>
      </c>
      <c r="H41" s="23">
        <f t="shared" si="5"/>
        <v>10115.11096</v>
      </c>
      <c r="I41" s="23">
        <f t="shared" si="5"/>
        <v>25945</v>
      </c>
      <c r="J41" s="23">
        <f t="shared" si="5"/>
        <v>321009.11096000002</v>
      </c>
      <c r="K41" s="9"/>
    </row>
    <row r="42" spans="1:12" s="4" customFormat="1" ht="13.5" customHeight="1" x14ac:dyDescent="0.2">
      <c r="A42" s="27">
        <v>2002</v>
      </c>
      <c r="B42" s="17"/>
      <c r="C42" s="17"/>
      <c r="D42" s="17"/>
      <c r="E42" s="17"/>
      <c r="F42" s="17"/>
      <c r="G42" s="17"/>
      <c r="H42" s="17"/>
      <c r="I42" s="17"/>
      <c r="J42" s="17"/>
      <c r="K42" s="8"/>
    </row>
    <row r="43" spans="1:12" s="4" customFormat="1" ht="13.5" customHeight="1" x14ac:dyDescent="0.2">
      <c r="A43" s="24" t="s">
        <v>28</v>
      </c>
      <c r="B43" s="17">
        <f>('[2]2002'!$B$13+'[2]2002'!$C$13+'[2]2002'!$D$13)/1000</f>
        <v>24811.239000000001</v>
      </c>
      <c r="C43" s="17">
        <f>('[2]2002'!$B$17+'[2]2002'!$C$17+'[2]2002'!$D$17)/1000</f>
        <v>488.89800000000002</v>
      </c>
      <c r="D43" s="17">
        <f>('[2]2002'!$B$29+'[2]2002'!$C$29+'[2]2002'!$D$29)/1000</f>
        <v>879.08</v>
      </c>
      <c r="E43" s="17">
        <v>19351</v>
      </c>
      <c r="F43" s="17">
        <f>('[2]2002'!$B$9+'[2]2002'!$C$9+'[2]2002'!$D$9)/1000</f>
        <v>6630.3010000000004</v>
      </c>
      <c r="G43" s="17">
        <f>('[2]2002'!$B$33+'[2]2002'!$C$33+'[2]2002'!$D$33)/1000</f>
        <v>7507.0720000000001</v>
      </c>
      <c r="H43" s="17">
        <f>('[2]2002'!$B$41+'[2]2002'!$C$41+'[2]2002'!$D$41)/1000</f>
        <v>2126.0700000000002</v>
      </c>
      <c r="I43" s="17">
        <f>5014+358.036-431.3757</f>
        <v>4940.6603000000005</v>
      </c>
      <c r="J43" s="17">
        <f>SUM(B43:I43)</f>
        <v>66734.320300000007</v>
      </c>
      <c r="K43" s="18"/>
      <c r="L43" s="11"/>
    </row>
    <row r="44" spans="1:12" s="4" customFormat="1" ht="13.5" customHeight="1" x14ac:dyDescent="0.2">
      <c r="A44" s="24" t="s">
        <v>29</v>
      </c>
      <c r="B44" s="17">
        <f>('[2]2002'!$E$13+'[2]2002'!$F$13+'[2]2002'!$G$13)/1000</f>
        <v>12237.824000000001</v>
      </c>
      <c r="C44" s="17">
        <f>('[2]2002'!$E$17+'[2]2002'!$F$17+'[2]2002'!$G$17)/1000</f>
        <v>1190.4169999999999</v>
      </c>
      <c r="D44" s="17">
        <f>('[2]2002'!$E$29+'[2]2002'!$F$29+'[2]2002'!$G$29)/1000</f>
        <v>10821.054</v>
      </c>
      <c r="E44" s="17">
        <v>14195</v>
      </c>
      <c r="F44" s="17">
        <f>('[2]2002'!$E$9+'[2]2002'!$F$9+'[2]2002'!$G$9)/1000</f>
        <v>5843.93</v>
      </c>
      <c r="G44" s="17">
        <f>('[2]2002'!$E$33+'[2]2002'!$F$33+'[2]2002'!$G$33)/1000</f>
        <v>9569.2749999999996</v>
      </c>
      <c r="H44" s="12">
        <f>('[2]2002'!$E$41+'[2]2002'!$F$41+'[2]2002'!$G$41)/1000</f>
        <v>5243.7179999999998</v>
      </c>
      <c r="I44" s="12">
        <f>3368+844.75-1787.69864</f>
        <v>2425.0513599999999</v>
      </c>
      <c r="J44" s="17">
        <f>SUM(B44:I44)</f>
        <v>61526.269359999998</v>
      </c>
      <c r="K44" s="18"/>
      <c r="L44" s="11"/>
    </row>
    <row r="45" spans="1:12" s="4" customFormat="1" ht="13.5" customHeight="1" x14ac:dyDescent="0.2">
      <c r="A45" s="24" t="s">
        <v>30</v>
      </c>
      <c r="B45" s="17">
        <f>('[2]2002'!$H$13+'[2]2002'!$I$13+'[2]2002'!$J$13)/1000</f>
        <v>28481.672999999999</v>
      </c>
      <c r="C45" s="17">
        <f>('[2]2002'!$H$17+'[2]2002'!$I$17+'[2]2002'!$J$17)/1000</f>
        <v>470.10399999999998</v>
      </c>
      <c r="D45" s="17">
        <f>('[2]2002'!$H$29+'[2]2002'!$I$29+'[2]2002'!$J$29)/1000</f>
        <v>11688.118</v>
      </c>
      <c r="E45" s="17">
        <v>14032</v>
      </c>
      <c r="F45" s="17">
        <f>('[2]2002'!$H$9+'[2]2002'!$I$9+'[2]2002'!$J$9)/1000</f>
        <v>26364.222000000002</v>
      </c>
      <c r="G45" s="17">
        <f>('[2]2002'!$H$33+'[2]2002'!$I$33+'[2]2002'!$J$33)/1000</f>
        <v>7023.6220000000003</v>
      </c>
      <c r="H45" s="12">
        <f>('[2]2002'!$H$41+'[2]2002'!$I$41+'[2]2002'!$J$41)/1000</f>
        <v>4621.3419999999996</v>
      </c>
      <c r="I45" s="12">
        <f>2604+745.499-743.489000000001</f>
        <v>2606.0099999999989</v>
      </c>
      <c r="J45" s="17">
        <f>SUM(B45:I45)</f>
        <v>95287.091</v>
      </c>
      <c r="K45" s="18"/>
      <c r="L45" s="11"/>
    </row>
    <row r="46" spans="1:12" s="4" customFormat="1" ht="13.5" customHeight="1" x14ac:dyDescent="0.2">
      <c r="A46" s="24" t="s">
        <v>31</v>
      </c>
      <c r="B46" s="17">
        <f>('[2]2002'!$K$13+'[2]2002'!$L$13+'[2]2002'!$M$13)/1000</f>
        <v>450.6</v>
      </c>
      <c r="C46" s="17">
        <f>('[2]2002'!$K$17+'[2]2002'!$L$17+'[2]2002'!$M$17)/1000</f>
        <v>528.61300000000006</v>
      </c>
      <c r="D46" s="17">
        <f>('[2]2002'!$K$29+'[2]2002'!$L$29+'[2]2002'!$M$29)/1000</f>
        <v>10159.425999999999</v>
      </c>
      <c r="E46" s="17">
        <v>10079</v>
      </c>
      <c r="F46" s="17">
        <f>('[2]2002'!$K$9+'[2]2002'!$L$9+'[2]2002'!$M$9)/1000</f>
        <v>30982.401999999998</v>
      </c>
      <c r="G46" s="17">
        <f>('[2]2002'!$K$33+'[2]2002'!$L$33+'[2]2002'!$M$33)/1000</f>
        <v>6486.1549999999997</v>
      </c>
      <c r="H46" s="12">
        <f>('[2]2002'!$K$41+'[2]2002'!$L$41+'[2]2002'!$M$41)/1000</f>
        <v>3262.152</v>
      </c>
      <c r="I46" s="12">
        <f>3491+641.799+7213.423</f>
        <v>11346.222</v>
      </c>
      <c r="J46" s="17">
        <f>SUM(B46:I46)</f>
        <v>73294.569999999992</v>
      </c>
      <c r="K46" s="18"/>
      <c r="L46" s="11"/>
    </row>
    <row r="47" spans="1:12" s="4" customFormat="1" ht="13.5" customHeight="1" x14ac:dyDescent="0.2">
      <c r="A47" s="25" t="s">
        <v>17</v>
      </c>
      <c r="B47" s="23">
        <f t="shared" ref="B47:J47" si="6">SUM(B43:B46)</f>
        <v>65981.33600000001</v>
      </c>
      <c r="C47" s="23">
        <f t="shared" si="6"/>
        <v>2678.0320000000002</v>
      </c>
      <c r="D47" s="23">
        <f t="shared" si="6"/>
        <v>33547.678</v>
      </c>
      <c r="E47" s="23">
        <f t="shared" si="6"/>
        <v>57657</v>
      </c>
      <c r="F47" s="23">
        <f t="shared" si="6"/>
        <v>69820.854999999996</v>
      </c>
      <c r="G47" s="23">
        <f t="shared" si="6"/>
        <v>30586.124</v>
      </c>
      <c r="H47" s="23">
        <f t="shared" si="6"/>
        <v>15253.282000000001</v>
      </c>
      <c r="I47" s="23">
        <f t="shared" si="6"/>
        <v>21317.943659999997</v>
      </c>
      <c r="J47" s="23">
        <f t="shared" si="6"/>
        <v>296842.25066000002</v>
      </c>
      <c r="K47" s="9"/>
    </row>
    <row r="48" spans="1:12" s="4" customFormat="1" ht="13.5" customHeight="1" x14ac:dyDescent="0.2">
      <c r="A48" s="27">
        <v>2003</v>
      </c>
      <c r="B48" s="17"/>
      <c r="C48" s="17"/>
      <c r="D48" s="17"/>
      <c r="E48" s="17"/>
      <c r="F48" s="17"/>
      <c r="G48" s="17"/>
      <c r="H48" s="17"/>
      <c r="I48" s="17"/>
      <c r="J48" s="17"/>
      <c r="K48" s="8"/>
    </row>
    <row r="49" spans="1:12" s="4" customFormat="1" ht="13.5" customHeight="1" x14ac:dyDescent="0.2">
      <c r="A49" s="24" t="s">
        <v>28</v>
      </c>
      <c r="B49" s="17">
        <f>('[2]2003'!$B$13+'[2]2003'!$C$13+'[2]2003'!$D$13)/1000</f>
        <v>32070.257000000001</v>
      </c>
      <c r="C49" s="17">
        <f>('[2]2003'!$B$17+'[2]2003'!$C$17+'[2]2003'!$D$17)/1000</f>
        <v>661.69299999999998</v>
      </c>
      <c r="D49" s="17">
        <f>('[2]2003'!$B$29+'[2]2003'!$C$29+'[2]2003'!$D$29)/1000</f>
        <v>17048.772000000001</v>
      </c>
      <c r="E49" s="17">
        <f>('[3]2003'!$B$17+'[3]2003'!$C$17+'[3]2003'!$D$17)/1000</f>
        <v>14341.95146</v>
      </c>
      <c r="F49" s="17">
        <f>('[2]2003'!$B$9+'[2]2003'!$C$9+'[2]2003'!$D$9)/1000</f>
        <v>18141.476999999999</v>
      </c>
      <c r="G49" s="17">
        <f>('[2]2003'!$B$33+'[2]2003'!$C$33+'[2]2003'!$D$33)/1000</f>
        <v>8127.0410000000002</v>
      </c>
      <c r="H49" s="17">
        <f>('[2]2003'!$B$41+'[2]2003'!$C$41+'[2]2003'!$D$41)/1000</f>
        <v>3965.3910000000001</v>
      </c>
      <c r="I49" s="17">
        <f>('[2]2003'!$B$112+'[2]2003'!$C$112+'[2]2003'!$D$112)/1000+546.757</f>
        <v>3770.7069999999999</v>
      </c>
      <c r="J49" s="17">
        <f>SUM(B49:I49)</f>
        <v>98127.28946</v>
      </c>
      <c r="K49" s="13"/>
      <c r="L49" s="11"/>
    </row>
    <row r="50" spans="1:12" s="4" customFormat="1" ht="13.5" customHeight="1" x14ac:dyDescent="0.2">
      <c r="A50" s="24" t="s">
        <v>29</v>
      </c>
      <c r="B50" s="12">
        <f>('[2]2003'!$E$13+'[2]2003'!$F$13+'[2]2003'!$G$13)/1000</f>
        <v>24859.963</v>
      </c>
      <c r="C50" s="17">
        <f>('[2]2003'!$E$17+'[2]2003'!$F$17+'[2]2003'!$G$17)/1000</f>
        <v>646.04100000000005</v>
      </c>
      <c r="D50" s="17">
        <f>('[2]2003'!$E$29+'[2]2003'!$F$29+'[2]2003'!$G$29)/1000</f>
        <v>11824.455</v>
      </c>
      <c r="E50" s="17">
        <f>('[3]2003'!$E$17+'[3]2003'!$F$17+'[3]2003'!$G$17)/1000</f>
        <v>22136.737419999998</v>
      </c>
      <c r="F50" s="17">
        <f>('[2]2003'!$E$9+'[2]2003'!$F$9+'[2]2003'!$G$9)/1000</f>
        <v>19418.577000000001</v>
      </c>
      <c r="G50" s="17">
        <f>('[2]2003'!$E$33+'[2]2003'!$F$33+'[2]2003'!$G$33)/1000</f>
        <v>7819.72</v>
      </c>
      <c r="H50" s="12">
        <f>('[2]2003'!$E$41+'[2]2003'!$F$41+'[2]2003'!$G$41)/1000</f>
        <v>4955.7759999999998</v>
      </c>
      <c r="I50" s="12">
        <f>('[2]2003'!$E$112+'[2]2003'!$F$112+'[2]2003'!$G$112)/1000-0.00099999989289+1243.419</f>
        <v>5556.7690000001066</v>
      </c>
      <c r="J50" s="17">
        <f>SUM(B50:I50)</f>
        <v>97218.038420000099</v>
      </c>
      <c r="K50" s="13"/>
      <c r="L50" s="11"/>
    </row>
    <row r="51" spans="1:12" s="4" customFormat="1" ht="13.5" customHeight="1" x14ac:dyDescent="0.2">
      <c r="A51" s="24" t="s">
        <v>30</v>
      </c>
      <c r="B51" s="12">
        <f>('[2]2003'!$H$13+'[2]2003'!$I$13+'[2]2003'!$J$13)/1000</f>
        <v>13054.757</v>
      </c>
      <c r="C51" s="17">
        <f>('[2]2003'!$H$17+'[2]2003'!$I$17+'[2]2003'!$J$17)/1000</f>
        <v>1168.249</v>
      </c>
      <c r="D51" s="17">
        <f>('[2]2003'!$H$29+'[2]2003'!$I$29+'[2]2003'!$J$29)/1000</f>
        <v>11933.605</v>
      </c>
      <c r="E51" s="17">
        <f>('[3]2003'!$H$17+'[3]2003'!$I$17+'[3]2003'!$J$17)/1000</f>
        <v>12411.69318</v>
      </c>
      <c r="F51" s="17">
        <f>('[2]2003'!$H$9+'[2]2003'!$I$9+'[2]2003'!$J$9)/1000</f>
        <v>48445.508999999998</v>
      </c>
      <c r="G51" s="17">
        <f>('[2]2003'!$H$33+'[2]2003'!$I$33+'[2]2003'!$J$33)/1000</f>
        <v>7931.473</v>
      </c>
      <c r="H51" s="12">
        <f>('[2]2003'!$H$41+'[2]2003'!$I$41+'[2]2003'!$J$41)/1000</f>
        <v>3882.922</v>
      </c>
      <c r="I51" s="12">
        <f>('[2]2003'!$H$112+'[2]2003'!$I$112+'[2]2003'!$J$112)/1000+0.0010000000384171+1157.972</f>
        <v>3982.6300000000383</v>
      </c>
      <c r="J51" s="17">
        <f>SUM(B51:I51)</f>
        <v>102810.83818000004</v>
      </c>
      <c r="K51" s="13"/>
      <c r="L51" s="11"/>
    </row>
    <row r="52" spans="1:12" s="4" customFormat="1" ht="13.5" customHeight="1" x14ac:dyDescent="0.2">
      <c r="A52" s="24" t="s">
        <v>31</v>
      </c>
      <c r="B52" s="12">
        <f>('[2]2003'!$K$13+'[2]2003'!$L$13+'[2]2003'!$M$13)/1000</f>
        <v>1241.9259999999999</v>
      </c>
      <c r="C52" s="17">
        <f>('[2]2003'!$K$17+'[2]2003'!$L$17+'[2]2003'!$M$17)/1000</f>
        <v>0</v>
      </c>
      <c r="D52" s="17">
        <f>('[2]2003'!$K$29+'[2]2003'!$L$29+'[2]2003'!$M$29)/1000</f>
        <v>11772.38</v>
      </c>
      <c r="E52" s="17">
        <f>('[3]2003'!$K$17+'[3]2003'!$L$17+'[3]2003'!$M$17)/1000</f>
        <v>9271.2926099999986</v>
      </c>
      <c r="F52" s="17">
        <f>('[2]2003'!$K$9+'[2]2003'!$L$9+'[2]2003'!$M$9)/1000</f>
        <v>24151.208999999999</v>
      </c>
      <c r="G52" s="17">
        <f>('[2]2003'!$K$33+'[2]2003'!$L$33+'[2]2003'!$M$33)/1000</f>
        <v>6991.5280000000002</v>
      </c>
      <c r="H52" s="12">
        <f>('[2]2003'!$K$41+'[2]2003'!$L$41+'[2]2003'!$M$41)/1000</f>
        <v>3948.2539999999999</v>
      </c>
      <c r="I52" s="12">
        <f>('[2]2003'!$K$112+'[2]2003'!$L$112+'[2]2003'!$M$112)/1000+614.346</f>
        <v>4125.4110000000001</v>
      </c>
      <c r="J52" s="17">
        <f>SUM(B52:I52)</f>
        <v>61502.000609999996</v>
      </c>
      <c r="K52" s="13"/>
      <c r="L52" s="11"/>
    </row>
    <row r="53" spans="1:12" s="4" customFormat="1" ht="13.5" customHeight="1" x14ac:dyDescent="0.2">
      <c r="A53" s="25" t="s">
        <v>17</v>
      </c>
      <c r="B53" s="23">
        <f t="shared" ref="B53:I53" si="7">SUM(B49:B52)</f>
        <v>71226.903000000006</v>
      </c>
      <c r="C53" s="23">
        <f t="shared" si="7"/>
        <v>2475.9830000000002</v>
      </c>
      <c r="D53" s="23">
        <f t="shared" si="7"/>
        <v>52579.211999999992</v>
      </c>
      <c r="E53" s="23">
        <f t="shared" si="7"/>
        <v>58161.67467</v>
      </c>
      <c r="F53" s="23">
        <f t="shared" si="7"/>
        <v>110156.772</v>
      </c>
      <c r="G53" s="23">
        <f t="shared" si="7"/>
        <v>30869.762000000002</v>
      </c>
      <c r="H53" s="23">
        <f t="shared" si="7"/>
        <v>16752.343000000001</v>
      </c>
      <c r="I53" s="23">
        <f t="shared" si="7"/>
        <v>17435.517000000145</v>
      </c>
      <c r="J53" s="23">
        <f>SUM(J49:J52)</f>
        <v>359658.16667000012</v>
      </c>
      <c r="K53" s="9"/>
    </row>
    <row r="54" spans="1:12" s="4" customFormat="1" ht="13.5" customHeight="1" x14ac:dyDescent="0.2">
      <c r="A54" s="27">
        <v>2004</v>
      </c>
      <c r="B54" s="17"/>
      <c r="C54" s="17"/>
      <c r="D54" s="17"/>
      <c r="E54" s="17"/>
      <c r="F54" s="17"/>
      <c r="G54" s="17"/>
      <c r="H54" s="17"/>
      <c r="I54" s="17"/>
      <c r="J54" s="17"/>
      <c r="K54" s="8"/>
    </row>
    <row r="55" spans="1:12" s="4" customFormat="1" ht="13.5" customHeight="1" x14ac:dyDescent="0.2">
      <c r="A55" s="24" t="s">
        <v>28</v>
      </c>
      <c r="B55" s="17">
        <f>('[2]2004'!$B$12+'[2]2004'!$C$12+'[2]2004'!$D$12)/1000</f>
        <v>31215.335999999999</v>
      </c>
      <c r="C55" s="17">
        <f>('[4]2004-2006'!$B$18+'[4]2004-2006'!$C$18+'[4]2004-2006'!$D$18)/1000</f>
        <v>433</v>
      </c>
      <c r="D55" s="17">
        <f>('[2]2004'!$B$28+'[2]2004'!$C$28+'[2]2004'!$D$28)/1000</f>
        <v>12060.188</v>
      </c>
      <c r="E55" s="17">
        <f>('[3]2004'!$B$17+'[3]2004'!$C$17+'[3]2004'!$D$17)/1000</f>
        <v>9937.3220799999999</v>
      </c>
      <c r="F55" s="17">
        <f>('[2]2004'!$B$8+'[2]2004'!$C$8+'[2]2004'!$D$8)/1000</f>
        <v>24015.402999999998</v>
      </c>
      <c r="G55" s="17">
        <f>('[2]2004'!$B$32+'[2]2004'!$C$32+'[2]2004'!$D$32)/1000</f>
        <v>7602.4219999999996</v>
      </c>
      <c r="H55" s="17">
        <f>('[2]2004'!$B$40+'[2]2004'!$C$40+'[2]2004'!$D$40)/1000</f>
        <v>4604.1329999999998</v>
      </c>
      <c r="I55" s="17">
        <f>('[2]2004'!$B$111+'[2]2004'!$C$111+'[2]2004'!$D$111)/1000+272.434</f>
        <v>4577.6710000000003</v>
      </c>
      <c r="J55" s="17">
        <f>SUM(B55:I55)</f>
        <v>94445.475080000004</v>
      </c>
      <c r="K55" s="8"/>
      <c r="L55" s="11"/>
    </row>
    <row r="56" spans="1:12" s="4" customFormat="1" ht="13.5" customHeight="1" x14ac:dyDescent="0.2">
      <c r="A56" s="24" t="s">
        <v>29</v>
      </c>
      <c r="B56" s="12">
        <f>('[2]2004'!$E$12+'[2]2004'!$F$12+'[2]2004'!$G$12)/1000</f>
        <v>22124.324000000001</v>
      </c>
      <c r="C56" s="17">
        <f>('[4]2004-2006'!$E$18+'[4]2004-2006'!$F$18+'[4]2004-2006'!$G$18)/1000</f>
        <v>956</v>
      </c>
      <c r="D56" s="17">
        <f>('[2]2004'!$E$28+'[2]2004'!$F$28+'[2]2004'!$G$28)/1000</f>
        <v>18408.608</v>
      </c>
      <c r="E56" s="17">
        <f>('[3]2004'!$E$17+'[3]2004'!$F$17+'[3]2004'!$G$17)/1000</f>
        <v>14487.89588</v>
      </c>
      <c r="F56" s="17">
        <f>('[2]2004'!$E$8+'[2]2004'!$F$8+'[2]2004'!$G$8)/1000</f>
        <v>14777.142</v>
      </c>
      <c r="G56" s="17">
        <f>('[2]2004'!$E$32+'[2]2004'!$F$32+'[2]2004'!$G$32)/1000</f>
        <v>9302.5290000000005</v>
      </c>
      <c r="H56" s="12">
        <f>('[2]2004'!$E$40+'[2]2004'!$F$40+'[2]2004'!$G$40)/1000</f>
        <v>6113.2889999999998</v>
      </c>
      <c r="I56" s="12">
        <f>('[2]2004'!$E$111+'[2]2004'!$F$111+'[2]2004'!$G$111)/1000+992.466</f>
        <v>6652.3068000000003</v>
      </c>
      <c r="J56" s="17">
        <f>SUM(B56:I56)</f>
        <v>92822.094679999995</v>
      </c>
      <c r="K56" s="8"/>
      <c r="L56" s="11"/>
    </row>
    <row r="57" spans="1:12" s="4" customFormat="1" ht="13.5" customHeight="1" x14ac:dyDescent="0.2">
      <c r="A57" s="24" t="s">
        <v>30</v>
      </c>
      <c r="B57" s="12">
        <f>('[2]2004'!$H$12+'[2]2004'!$I$12+'[2]2004'!$J$12)/1000</f>
        <v>25010.473000000002</v>
      </c>
      <c r="C57" s="17">
        <f>('[4]2004-2006'!$H$18+'[4]2004-2006'!$I$18+'[4]2004-2006'!$J$18)/1000</f>
        <v>954</v>
      </c>
      <c r="D57" s="17">
        <f>('[2]2004'!$H$28+'[2]2004'!$I$28+'[2]2004'!$J$28)/1000</f>
        <v>12351.471</v>
      </c>
      <c r="E57" s="17">
        <f>('[3]2004'!$H$17+'[3]2004'!$I$17+'[3]2004'!$J$17)/1000</f>
        <v>7986.8835999999992</v>
      </c>
      <c r="F57" s="17">
        <f>('[2]2004'!$H$8+'[2]2004'!$I$8+'[2]2004'!$J$8)/1000</f>
        <v>35488.428</v>
      </c>
      <c r="G57" s="17">
        <f>('[2]2004'!$H$32+'[2]2004'!$I$32+'[2]2004'!$J$32)/1000</f>
        <v>10782.178</v>
      </c>
      <c r="H57" s="12">
        <f>('[2]2004'!$H$40+'[2]2004'!$I$40+'[2]2004'!$J$40)/1000</f>
        <v>5857.3680000000004</v>
      </c>
      <c r="I57" s="12">
        <f>('[2]2004'!$H$111+'[2]2004'!$I$111+'[2]2004'!$J$111)/1000+1064.623</f>
        <v>5757.634</v>
      </c>
      <c r="J57" s="17">
        <f>SUM(B57:I57)</f>
        <v>104188.43560000001</v>
      </c>
      <c r="K57" s="8"/>
      <c r="L57" s="11"/>
    </row>
    <row r="58" spans="1:12" s="4" customFormat="1" ht="13.5" customHeight="1" x14ac:dyDescent="0.2">
      <c r="A58" s="24" t="s">
        <v>31</v>
      </c>
      <c r="B58" s="12">
        <f>('[2]2004'!$K$12+'[2]2004'!$L$12+'[2]2004'!$M$12)/1000</f>
        <v>3184.0410000000002</v>
      </c>
      <c r="C58" s="17">
        <f>('[4]2004-2006'!$K$18+'[4]2004-2006'!$L$18+'[4]2004-2006'!$M$18)/1000</f>
        <v>302</v>
      </c>
      <c r="D58" s="17">
        <f>('[2]2004'!$K$28+'[2]2004'!$L$28+'[2]2004'!$M$28)/1000</f>
        <v>10171.004999999999</v>
      </c>
      <c r="E58" s="17">
        <f>('[3]2004'!$K$17+'[3]2004'!$L$17+'[3]2004'!$M$17)/1000</f>
        <v>14698.730740000001</v>
      </c>
      <c r="F58" s="17">
        <f>('[2]2004'!$K$8+'[2]2004'!$L$8+'[2]2004'!$M$8)/1000</f>
        <v>33090.951000000001</v>
      </c>
      <c r="G58" s="17">
        <f>('[2]2004'!$K$32+'[2]2004'!$L$32+'[2]2004'!$M$32)/1000</f>
        <v>9415.6049999999996</v>
      </c>
      <c r="H58" s="12">
        <f>('[2]2004'!$K$40+'[2]2004'!$L$40+'[2]2004'!$M$40)/1000</f>
        <v>6243.5680000000002</v>
      </c>
      <c r="I58" s="12">
        <f>('[2]2004'!$K$111+'[2]2004'!$L$111+'[2]2004'!$M$111)/1000+652.239</f>
        <v>6238.6489999999994</v>
      </c>
      <c r="J58" s="17">
        <f>SUM(B58:I58)</f>
        <v>83344.549740000002</v>
      </c>
      <c r="K58" s="8"/>
      <c r="L58" s="11"/>
    </row>
    <row r="59" spans="1:12" s="4" customFormat="1" ht="13.5" customHeight="1" x14ac:dyDescent="0.2">
      <c r="A59" s="25" t="s">
        <v>17</v>
      </c>
      <c r="B59" s="23">
        <f>SUM(B55:B58)</f>
        <v>81534.173999999999</v>
      </c>
      <c r="C59" s="23">
        <f t="shared" ref="C59:J59" si="8">SUM(C55:C58)</f>
        <v>2645</v>
      </c>
      <c r="D59" s="23">
        <f t="shared" si="8"/>
        <v>52991.271999999997</v>
      </c>
      <c r="E59" s="23">
        <f>SUM(E55:E58)</f>
        <v>47110.832300000002</v>
      </c>
      <c r="F59" s="23">
        <f>SUM(F55:F58)</f>
        <v>107371.924</v>
      </c>
      <c r="G59" s="23">
        <f>SUM(G55:G58)</f>
        <v>37102.733999999997</v>
      </c>
      <c r="H59" s="23">
        <f t="shared" si="8"/>
        <v>22818.358</v>
      </c>
      <c r="I59" s="23">
        <f t="shared" si="8"/>
        <v>23226.260799999996</v>
      </c>
      <c r="J59" s="23">
        <f t="shared" si="8"/>
        <v>374800.5551</v>
      </c>
      <c r="K59" s="9"/>
      <c r="L59" s="15"/>
    </row>
    <row r="60" spans="1:12" s="4" customFormat="1" ht="13.5" customHeight="1" x14ac:dyDescent="0.2">
      <c r="A60" s="27">
        <v>2005</v>
      </c>
      <c r="B60" s="23"/>
      <c r="C60" s="23"/>
      <c r="D60" s="23"/>
      <c r="E60" s="23"/>
      <c r="F60" s="23"/>
      <c r="G60" s="23"/>
      <c r="H60" s="23"/>
      <c r="I60" s="23"/>
      <c r="J60" s="23"/>
      <c r="K60" s="8"/>
    </row>
    <row r="61" spans="1:12" s="4" customFormat="1" ht="13.5" customHeight="1" x14ac:dyDescent="0.2">
      <c r="A61" s="24" t="s">
        <v>28</v>
      </c>
      <c r="B61" s="17">
        <f>('[2]2005'!$B$12+'[2]2005'!$C$12+'[2]2005'!$D$12)/1000</f>
        <v>27332.359</v>
      </c>
      <c r="C61" s="17">
        <f>('[2]2005'!$B$16+'[2]2005'!$C$16+'[2]2005'!$D$16)/1000+('[4]2004-2006'!$B$13+'[4]2004-2006'!$C$13+'[4]2004-2006'!$D$13)/1000</f>
        <v>910.43900000000008</v>
      </c>
      <c r="D61" s="17">
        <f>('[2]2005'!$B$28+'[2]2005'!$C$28+'[2]2005'!$D$28)/1000</f>
        <v>10637.625</v>
      </c>
      <c r="E61" s="17">
        <f>('[3]2005'!$B$17+'[3]2005'!$C$17+'[3]2005'!$D$17)/1000</f>
        <v>31332.266</v>
      </c>
      <c r="F61" s="17">
        <f>('[2]2005'!$B$8+'[2]2005'!$C$8+'[2]2005'!$D$8)/1000</f>
        <v>20031.027999999998</v>
      </c>
      <c r="G61" s="17">
        <f>('[2]2005'!$B$32+'[2]2005'!$C$32+'[2]2005'!$D$32)/1000</f>
        <v>8671.6790000000001</v>
      </c>
      <c r="H61" s="17">
        <f>('[2]2005'!$B$40+'[2]2005'!$C$40+'[2]2005'!$D$40)/1000</f>
        <v>6992.6890000000003</v>
      </c>
      <c r="I61" s="17">
        <f>('[2]2005'!$B$111+'[2]2005'!$C$111+'[2]2005'!$D$111)/1000+493.945</f>
        <v>10933.496999999999</v>
      </c>
      <c r="J61" s="17">
        <f>SUM(B61:I61)</f>
        <v>116841.58200000001</v>
      </c>
      <c r="K61" s="8"/>
      <c r="L61" s="11"/>
    </row>
    <row r="62" spans="1:12" s="4" customFormat="1" ht="13.5" customHeight="1" x14ac:dyDescent="0.2">
      <c r="A62" s="24" t="s">
        <v>29</v>
      </c>
      <c r="B62" s="12">
        <f>('[2]2005'!$E$12+'[2]2005'!$F$12+'[2]2005'!$G$12)/1000</f>
        <v>16228.409</v>
      </c>
      <c r="C62" s="17">
        <f>('[2]2005'!$E$16+'[2]2005'!$F$16+'[2]2005'!$G$16)/1000+('[4]2004-2006'!$E$13+'[4]2004-2006'!$F$13+'[4]2004-2006'!$G$13)/1000</f>
        <v>3321.64345</v>
      </c>
      <c r="D62" s="12">
        <f>('[2]2005'!$E$28+'[2]2005'!$F$28+'[2]2005'!$G$28)/1000</f>
        <v>15673.264999999999</v>
      </c>
      <c r="E62" s="17">
        <f>('[3]2005'!$E$17+'[3]2005'!$F$17+'[3]2005'!$G$17)/1000</f>
        <v>20160.588</v>
      </c>
      <c r="F62" s="17">
        <f>('[2]2005'!$E$8+'[2]2005'!$F$8+'[2]2005'!$G$8)/1000</f>
        <v>19252.291000000001</v>
      </c>
      <c r="G62" s="12">
        <f>('[2]2005'!$E$32+'[2]2005'!$F$32+'[2]2005'!$G$32)/1000</f>
        <v>8840.6</v>
      </c>
      <c r="H62" s="12">
        <f>('[2]2005'!$E$40+'[2]2005'!$F$40+'[2]2005'!$G$40)/1000</f>
        <v>7104.9290000000001</v>
      </c>
      <c r="I62" s="12">
        <f>('[2]2005'!$E$111+'[2]2005'!$F$111+'[2]2005'!$G$111)/1000+561.36791</f>
        <v>8925.6809100000009</v>
      </c>
      <c r="J62" s="17">
        <f>SUM(B62:I62)</f>
        <v>99507.406360000008</v>
      </c>
      <c r="K62" s="8"/>
      <c r="L62" s="11"/>
    </row>
    <row r="63" spans="1:12" s="4" customFormat="1" ht="13.5" customHeight="1" x14ac:dyDescent="0.2">
      <c r="A63" s="24" t="s">
        <v>30</v>
      </c>
      <c r="B63" s="12">
        <f>('[2]2005'!$H$12+'[2]2005'!$I$12+'[2]2005'!$J$12)/1000</f>
        <v>24796.868999999999</v>
      </c>
      <c r="C63" s="17">
        <f>('[2]2005'!$H$16+'[2]2005'!$I$16+'[2]2005'!$J$16)/1000+('[4]2004-2006'!$H$13+'[4]2004-2006'!$I$13+'[4]2004-2006'!$J$13)/1000</f>
        <v>1286.9159999999999</v>
      </c>
      <c r="D63" s="12">
        <f>('[2]2005'!$H$28+'[2]2005'!$I$28+'[2]2005'!$J$28)/1000</f>
        <v>12094.007</v>
      </c>
      <c r="E63" s="17">
        <f>('[3]2005'!$H$17+'[3]2005'!$I$17+'[3]2005'!$J$17)/1000</f>
        <v>13757.239</v>
      </c>
      <c r="F63" s="17">
        <f>('[2]2005'!$H$8+'[2]2005'!$I$8+'[2]2005'!$J$8)/1000</f>
        <v>27878.907999999999</v>
      </c>
      <c r="G63" s="12">
        <f>('[2]2005'!$H$32+'[2]2005'!$I$32+'[2]2005'!$J$32)/1000</f>
        <v>10106.049000000001</v>
      </c>
      <c r="H63" s="12">
        <f>('[2]2005'!$H$40+'[2]2005'!$I$40+'[2]2005'!$J$40)/1000</f>
        <v>6166.7209999999995</v>
      </c>
      <c r="I63" s="12">
        <f>('[2]2005'!$H$111+'[2]2005'!$I$111+'[2]2005'!$J$111)/1000+550.977</f>
        <v>9360.0610000000015</v>
      </c>
      <c r="J63" s="17">
        <f>SUM(B63:I63)</f>
        <v>105446.77</v>
      </c>
      <c r="K63" s="8"/>
      <c r="L63" s="11"/>
    </row>
    <row r="64" spans="1:12" s="4" customFormat="1" ht="13.5" customHeight="1" x14ac:dyDescent="0.2">
      <c r="A64" s="24" t="s">
        <v>31</v>
      </c>
      <c r="B64" s="12">
        <f>('[2]2005'!$K$12+'[2]2005'!$L$12+'[2]2005'!$M$12)/1000</f>
        <v>1541.79026</v>
      </c>
      <c r="C64" s="17">
        <f>('[2]2005'!$K$16+'[2]2005'!$L$16+'[2]2005'!$M$16)/1000+('[4]2004-2006'!$K$13+'[4]2004-2006'!$L$13+'[4]2004-2006'!$M$13)/1000</f>
        <v>0</v>
      </c>
      <c r="D64" s="12">
        <f>('[2]2005'!$K$28+'[2]2005'!$L$28+'[2]2005'!$M$28)/1000</f>
        <v>11462.393</v>
      </c>
      <c r="E64" s="17">
        <f>('[3]2005'!$K$17+'[3]2005'!$L$17+'[3]2005'!$M$17)/1000</f>
        <v>12228.953</v>
      </c>
      <c r="F64" s="17">
        <f>('[2]2005'!$K$8+'[2]2005'!$L$8+'[2]2005'!$M$8)/1000</f>
        <v>30958.696</v>
      </c>
      <c r="G64" s="12">
        <f>('[2]2005'!$K$32+'[2]2005'!$L$32+'[2]2005'!$M$32)/1000</f>
        <v>6937.5370000000003</v>
      </c>
      <c r="H64" s="12">
        <f>('[2]2005'!$K$40+'[2]2005'!$L$40+'[2]2005'!$M$40)/1000</f>
        <v>6592.558</v>
      </c>
      <c r="I64" s="12">
        <f>('[2]2005'!$K$111+'[2]2005'!$L$111+'[2]2005'!$M$111)/1000+1028.53005</f>
        <v>6312.7973000000002</v>
      </c>
      <c r="J64" s="17">
        <f>SUM(B64:I64)</f>
        <v>76034.724560000002</v>
      </c>
      <c r="K64" s="8"/>
      <c r="L64" s="11"/>
    </row>
    <row r="65" spans="1:11" s="4" customFormat="1" ht="13.5" customHeight="1" x14ac:dyDescent="0.2">
      <c r="A65" s="25" t="s">
        <v>17</v>
      </c>
      <c r="B65" s="23">
        <f t="shared" ref="B65:J65" si="9">SUM(B61:B64)</f>
        <v>69899.427259999982</v>
      </c>
      <c r="C65" s="23">
        <f t="shared" si="9"/>
        <v>5518.99845</v>
      </c>
      <c r="D65" s="23">
        <f t="shared" si="9"/>
        <v>49867.289999999994</v>
      </c>
      <c r="E65" s="23">
        <f t="shared" si="9"/>
        <v>77479.046000000002</v>
      </c>
      <c r="F65" s="23">
        <f t="shared" si="9"/>
        <v>98120.922999999995</v>
      </c>
      <c r="G65" s="23">
        <f t="shared" si="9"/>
        <v>34555.865000000005</v>
      </c>
      <c r="H65" s="23">
        <f t="shared" si="9"/>
        <v>26856.897000000001</v>
      </c>
      <c r="I65" s="23">
        <f t="shared" si="9"/>
        <v>35532.036209999998</v>
      </c>
      <c r="J65" s="23">
        <f t="shared" si="9"/>
        <v>397830.48292000004</v>
      </c>
      <c r="K65" s="9"/>
    </row>
  </sheetData>
  <printOptions horizontalCentered="1"/>
  <pageMargins left="0.5" right="0.5" top="0.5" bottom="0.5" header="0.5" footer="0.25"/>
  <pageSetup scale="74" firstPageNumber="2" orientation="portrait" useFirstPageNumber="1" r:id="rId1"/>
  <headerFooter>
    <oddHeader xml:space="preserve">&amp;C
</oddHeader>
    <oddFooter xml:space="preserve">&amp;C&amp;"Arial,Regular"&amp;P&amp;R&amp;"Arial,Bold"&amp;12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L4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/>
    </sheetView>
  </sheetViews>
  <sheetFormatPr defaultColWidth="9.625" defaultRowHeight="12" x14ac:dyDescent="0.15"/>
  <cols>
    <col min="1" max="1" width="10.125" customWidth="1"/>
    <col min="2" max="2" width="9.5" customWidth="1"/>
    <col min="3" max="10" width="10.125" customWidth="1"/>
    <col min="11" max="11" width="10.125" style="10" customWidth="1"/>
    <col min="13" max="13" width="12.75" customWidth="1"/>
  </cols>
  <sheetData>
    <row r="1" spans="1:12" ht="18" customHeight="1" x14ac:dyDescent="0.1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9"/>
    </row>
    <row r="2" spans="1:12" ht="14.2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19"/>
    </row>
    <row r="3" spans="1:12" ht="14.25" customHeight="1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1"/>
      <c r="K3" s="39" t="s">
        <v>26</v>
      </c>
    </row>
    <row r="4" spans="1:12" s="4" customFormat="1" ht="12.75" customHeight="1" x14ac:dyDescent="0.2">
      <c r="A4" s="3"/>
      <c r="B4" s="42"/>
      <c r="C4" s="42"/>
      <c r="D4" s="42"/>
      <c r="E4" s="42" t="s">
        <v>1</v>
      </c>
      <c r="F4" s="42" t="s">
        <v>2</v>
      </c>
      <c r="G4" s="42"/>
      <c r="H4" s="42" t="s">
        <v>27</v>
      </c>
      <c r="I4" s="42"/>
      <c r="J4" s="42"/>
      <c r="K4" s="44"/>
    </row>
    <row r="5" spans="1:12" s="4" customFormat="1" ht="12.75" customHeight="1" x14ac:dyDescent="0.2">
      <c r="A5" s="5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6</v>
      </c>
      <c r="H5" s="43" t="s">
        <v>34</v>
      </c>
      <c r="I5" s="43" t="s">
        <v>36</v>
      </c>
      <c r="J5" s="43" t="s">
        <v>35</v>
      </c>
      <c r="K5" s="45" t="s">
        <v>17</v>
      </c>
    </row>
    <row r="6" spans="1:12" s="4" customFormat="1" ht="16.5" customHeight="1" x14ac:dyDescent="0.2">
      <c r="A6" s="28">
        <v>2006</v>
      </c>
      <c r="B6" s="21"/>
      <c r="C6" s="21"/>
      <c r="D6" s="21"/>
      <c r="E6" s="21"/>
      <c r="F6" s="21"/>
      <c r="G6" s="21"/>
      <c r="H6" s="29"/>
      <c r="I6" s="21"/>
      <c r="J6" s="21"/>
      <c r="K6" s="30"/>
    </row>
    <row r="7" spans="1:12" s="4" customFormat="1" ht="13.5" customHeight="1" x14ac:dyDescent="0.2">
      <c r="A7" s="24" t="s">
        <v>28</v>
      </c>
      <c r="B7" s="17">
        <f>('[2]2006'!$B$12+'[2]2006'!$C$12+'[2]2006'!$D$12)/1000</f>
        <v>30991.303</v>
      </c>
      <c r="C7" s="17">
        <f>('[4]2004-2006'!$B$4+'[4]2004-2006'!$C$4+'[4]2004-2006'!$D$4)/1000</f>
        <v>0</v>
      </c>
      <c r="D7" s="17">
        <f>('[5]2006'!$B$28+'[5]2006'!$C$28+'[5]2006'!$D$28)/1000</f>
        <v>11598.885</v>
      </c>
      <c r="E7" s="17">
        <f>('[3]2006'!$B$17+'[3]2006'!$C$17+'[3]2006'!$D$17)/1000</f>
        <v>31769.725999999999</v>
      </c>
      <c r="F7" s="17">
        <f>('[5]2006'!$B$8+'[5]2006'!$C$8+'[5]2006'!$D$8)/1000+([6]Sheet1!$B$15)/1000</f>
        <v>16436.688258999999</v>
      </c>
      <c r="G7" s="17">
        <f>('[2]2006'!$B$32+'[2]2006'!$C$32+'[2]2006'!$D$32)/1000</f>
        <v>11183.59</v>
      </c>
      <c r="H7" s="17">
        <f>('[7]2006'!$B$13+'[7]2006'!$C$13+'[7]2006'!$D$13)/1000</f>
        <v>10751.295326348958</v>
      </c>
      <c r="I7" s="17">
        <f>('[5]2006'!$B$40+'[5]2006'!$C$40+'[5]2006'!$D$40)/1000</f>
        <v>6047.89</v>
      </c>
      <c r="J7" s="17">
        <f>('[5]2006'!$B$115+'[5]2006'!$C$115+'[5]2006'!$D$115)/1000-0.000258999963989481</f>
        <v>8313.972741000036</v>
      </c>
      <c r="K7" s="17">
        <f>SUM(B7:J7)</f>
        <v>127093.350326349</v>
      </c>
    </row>
    <row r="8" spans="1:12" s="4" customFormat="1" ht="13.5" customHeight="1" x14ac:dyDescent="0.2">
      <c r="A8" s="24" t="s">
        <v>29</v>
      </c>
      <c r="B8" s="12">
        <f>('[2]2006'!$E$12+'[2]2006'!$F$12+'[2]2006'!$G$12)/1000</f>
        <v>45970.752999999997</v>
      </c>
      <c r="C8" s="17">
        <f>('[4]2004-2006'!$E$4+'[4]2004-2006'!$F$4+'[4]2004-2006'!$G$4)/1000</f>
        <v>4060.53</v>
      </c>
      <c r="D8" s="12">
        <f>('[5]2006'!$E$28+'[5]2006'!$F$28+'[5]2006'!$G$28)/1000</f>
        <v>15532.428</v>
      </c>
      <c r="E8" s="17">
        <f>('[3]2006'!$E$17+'[3]2006'!$F$17+'[3]2006'!$G$17)/1000</f>
        <v>33554.269999999997</v>
      </c>
      <c r="F8" s="17">
        <f>('[5]2006'!$E$8+'[5]2006'!$F$8+'[5]2006'!$G$8)/1000+([6]Sheet1!$B$16)/1000</f>
        <v>11597.292022</v>
      </c>
      <c r="G8" s="12">
        <f>('[2]2006'!$E$32+'[2]2006'!$F$32+'[2]2006'!$G$32)/1000</f>
        <v>8981.6350000000002</v>
      </c>
      <c r="H8" s="17">
        <f>('[2]2006'!$E$44+'[2]2006'!$F$44+'[2]2006'!$G$44)/1000+('[7]2006'!$E$11+'[7]2006'!$F$11+'[7]2006'!$G$11)/1000</f>
        <v>21550.741527345443</v>
      </c>
      <c r="I8" s="12">
        <f>('[5]2006'!$E$40+'[5]2006'!$F$40+'[5]2006'!$G$40)/1000</f>
        <v>8652.2790000000005</v>
      </c>
      <c r="J8" s="12">
        <f>('[5]2006'!$E$115+'[5]2006'!$F$115+'[5]2006'!$G$115)/1000-0.0000220004585571587</f>
        <v>10494.273977999541</v>
      </c>
      <c r="K8" s="17">
        <f>SUM(B8:J8)</f>
        <v>160394.20252734498</v>
      </c>
    </row>
    <row r="9" spans="1:12" s="4" customFormat="1" ht="13.5" customHeight="1" x14ac:dyDescent="0.2">
      <c r="A9" s="24" t="s">
        <v>30</v>
      </c>
      <c r="B9" s="12">
        <f>('[2]2006'!$H$12+'[2]2006'!$I$12+'[2]2006'!$J$12)/1000</f>
        <v>21675.857</v>
      </c>
      <c r="C9" s="17">
        <f>('[4]2004-2006'!$H$4+'[4]2004-2006'!$I$4+'[4]2004-2006'!$J$4)/1000</f>
        <v>2203.4699999999998</v>
      </c>
      <c r="D9" s="12">
        <f>('[5]2006'!$H$28+'[5]2006'!$I$28+'[5]2006'!$J$28)/1000</f>
        <v>14624.950999999999</v>
      </c>
      <c r="E9" s="17">
        <f>('[3]2006'!$H$17+'[3]2006'!$I$17+'[3]2006'!$J$17)/1000</f>
        <v>34094.180999999997</v>
      </c>
      <c r="F9" s="17">
        <f>('[5]2006'!$H$8+'[5]2006'!$I$8+'[5]2006'!$J$8)/1000+([6]Sheet1!$B$17)/1000</f>
        <v>28552.907501000002</v>
      </c>
      <c r="G9" s="12">
        <f>('[2]2006'!$H$32+'[2]2006'!$I$32+'[2]2006'!$J$32)/1000</f>
        <v>7843.5240000000003</v>
      </c>
      <c r="H9" s="17">
        <f>('[2]2006'!$H$44+'[2]2006'!$I$44+'[2]2006'!$J$44)/1000+('[7]2006'!$H$11+'[7]2006'!$I$11+'[7]2006'!$J$11)/1000</f>
        <v>23241.234718695705</v>
      </c>
      <c r="I9" s="12">
        <f>('[5]2006'!$H$40+'[5]2006'!$I$40+'[5]2006'!$J$40)/1000</f>
        <v>8705.6350000000002</v>
      </c>
      <c r="J9" s="12">
        <f>('[5]2006'!$H$115+'[5]2006'!$I$115+'[5]2006'!$J$115)/1000+0.00049000278068706+0.000008997478952968</f>
        <v>6640.5124990002596</v>
      </c>
      <c r="K9" s="17">
        <f>SUM(B9:J9)</f>
        <v>147582.27271869601</v>
      </c>
    </row>
    <row r="10" spans="1:12" s="4" customFormat="1" ht="13.5" customHeight="1" x14ac:dyDescent="0.2">
      <c r="A10" s="24" t="s">
        <v>31</v>
      </c>
      <c r="B10" s="12">
        <f>('[2]2006'!$K$12+'[2]2006'!$L$12+'[2]2006'!$M$12)/1000</f>
        <v>1427.15</v>
      </c>
      <c r="C10" s="17">
        <f>('[4]2004-2006'!$K$4+'[4]2004-2006'!$L$4+'[4]2004-2006'!$M$4)/1000</f>
        <v>0</v>
      </c>
      <c r="D10" s="12">
        <f>('[5]2006'!$K$28+'[5]2006'!$L$28+'[5]2006'!$M$28)/1000</f>
        <v>8835.375</v>
      </c>
      <c r="E10" s="17">
        <f>('[3]2006'!$K$17+'[3]2006'!$L$17+'[3]2006'!$M$17)/1000</f>
        <v>20656.946</v>
      </c>
      <c r="F10" s="17">
        <f>('[5]2006'!$K$8+'[5]2006'!$L$8+'[5]2006'!$M$8)/1000+([6]Sheet1!$B$18)/1000</f>
        <v>34990.593218000002</v>
      </c>
      <c r="G10" s="12">
        <f>('[2]2006'!$K$32+'[2]2006'!$L$32+'[2]2006'!$M$32)/1000</f>
        <v>8583.9220000000005</v>
      </c>
      <c r="H10" s="17">
        <f>('[2]2006'!$K$44+'[2]2006'!$L$44+'[2]2006'!$M$44)/1000+('[7]2006'!$K$11+'[7]2006'!$L$11+'[7]2006'!$M$11)/1000</f>
        <v>21459.558427609896</v>
      </c>
      <c r="I10" s="12">
        <f>('[5]2006'!$K$40+'[5]2006'!$L$40+'[5]2006'!$M$40)/1000</f>
        <v>7608.5919999999996</v>
      </c>
      <c r="J10" s="12">
        <f>('[5]2006'!$K$115+'[5]2006'!$L$115+'[5]2006'!$M$115)/1000-0.000217999913729727</f>
        <v>4809.386782000086</v>
      </c>
      <c r="K10" s="17">
        <f>SUM(B10:J10)</f>
        <v>108371.52342760999</v>
      </c>
    </row>
    <row r="11" spans="1:12" s="4" customFormat="1" ht="13.5" customHeight="1" x14ac:dyDescent="0.2">
      <c r="A11" s="25" t="s">
        <v>17</v>
      </c>
      <c r="B11" s="23">
        <f t="shared" ref="B11:J11" si="0">SUM(B7:B10)</f>
        <v>100065.06299999999</v>
      </c>
      <c r="C11" s="23">
        <f t="shared" si="0"/>
        <v>6264</v>
      </c>
      <c r="D11" s="23">
        <f t="shared" si="0"/>
        <v>50591.639000000003</v>
      </c>
      <c r="E11" s="23">
        <f t="shared" si="0"/>
        <v>120075.12299999999</v>
      </c>
      <c r="F11" s="23">
        <f t="shared" si="0"/>
        <v>91577.481</v>
      </c>
      <c r="G11" s="23">
        <f t="shared" si="0"/>
        <v>36592.671000000002</v>
      </c>
      <c r="H11" s="23">
        <f t="shared" si="0"/>
        <v>77002.83</v>
      </c>
      <c r="I11" s="23">
        <f t="shared" si="0"/>
        <v>31014.396000000004</v>
      </c>
      <c r="J11" s="23">
        <f t="shared" si="0"/>
        <v>30258.145999999921</v>
      </c>
      <c r="K11" s="17">
        <f t="shared" ref="K11" si="1">SUM(B11:J11)</f>
        <v>543441.34899999993</v>
      </c>
    </row>
    <row r="12" spans="1:12" s="4" customFormat="1" ht="13.5" customHeight="1" x14ac:dyDescent="0.2">
      <c r="A12" s="27">
        <v>2007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2" s="4" customFormat="1" ht="13.5" customHeight="1" x14ac:dyDescent="0.2">
      <c r="A13" s="24" t="s">
        <v>28</v>
      </c>
      <c r="B13" s="17">
        <f>('[5]2007'!$B$12+'[5]2007'!$C$12+'[5]2007'!$D$12)/1000</f>
        <v>47548.726000000002</v>
      </c>
      <c r="C13" s="17">
        <f>('[4]2007'!$B$4+'[4]2007'!$C$4+'[4]2007'!$D$4)/1000</f>
        <v>442.47199999999998</v>
      </c>
      <c r="D13" s="17">
        <f>('[5]2007'!$B$28+'[5]2007'!$C$28+'[5]2007'!$D$28)/1000-('[8]2007'!$B$9+'[8]2007'!$C$9+'[8]2007'!$D$9)/1000</f>
        <v>8217.864705760001</v>
      </c>
      <c r="E13" s="17">
        <f>('[3]2007'!$B$17+'[3]2007'!$C$17+'[3]2007'!$D$17)/1000</f>
        <v>41013.498</v>
      </c>
      <c r="F13" s="17">
        <f>('[5]2007'!$B$8+'[5]2007'!$C$8+'[5]2007'!$D$8)/1000+([6]Sheet1!$E$15)/1000-('[5]2007'!$B$136+'[5]2007'!$C$136+'[5]2007'!$D$136)/1000</f>
        <v>14283.492251181433</v>
      </c>
      <c r="G13" s="17">
        <f>('[5]2007'!$B$32+'[5]2007'!$C$32+'[5]2007'!$D$32)/1000</f>
        <v>7110.7420000000002</v>
      </c>
      <c r="H13" s="17">
        <f>('[7]2007'!$B$12+'[7]2007'!$C$12+'[7]2007'!$D$12)/1000</f>
        <v>17843.952335260001</v>
      </c>
      <c r="I13" s="17">
        <f>('[5]2007'!$B$40+'[5]2007'!$C$40+'[5]2007'!$D$40)/1000</f>
        <v>8633.4490000000005</v>
      </c>
      <c r="J13" s="17">
        <f>('[5]2007'!$B$115+'[5]2007'!$C$115+'[5]2007'!$D$115)/1000</f>
        <v>6849.5190000000002</v>
      </c>
      <c r="K13" s="17">
        <f>151.94371504102*1000</f>
        <v>151943.71504102001</v>
      </c>
    </row>
    <row r="14" spans="1:12" s="4" customFormat="1" ht="13.5" customHeight="1" x14ac:dyDescent="0.2">
      <c r="A14" s="24" t="s">
        <v>29</v>
      </c>
      <c r="B14" s="12">
        <f>('[5]2007'!$E$12+'[5]2007'!$F$12+'[5]2007'!$G$12)/1000</f>
        <v>23771.684000000001</v>
      </c>
      <c r="C14" s="17">
        <f>('[4]2007'!$E$4+'[4]2007'!$F$4+'[4]2007'!$G$4)/1000</f>
        <v>2248.7550000000001</v>
      </c>
      <c r="D14" s="12">
        <f>('[5]2007'!$E$28+'[5]2007'!$F$28+'[5]2007'!$G$28)/1000-('[8]2007'!$E$9+'[8]2007'!$F$9+'[8]2007'!$G$9)/1000</f>
        <v>13161.366176400001</v>
      </c>
      <c r="E14" s="17">
        <f>('[3]2007'!$E$17+'[3]2007'!$F$17+'[3]2007'!$G$17)/1000</f>
        <v>28751.534</v>
      </c>
      <c r="F14" s="12">
        <f>('[5]2007'!$E$8+'[5]2007'!$F$8+'[5]2007'!$G$8)/1000+([6]Sheet1!$E$16)/1000-('[5]2007'!$E$136+'[5]2007'!$F$136+'[5]2007'!$G$136)/1000</f>
        <v>5963.6366428129631</v>
      </c>
      <c r="G14" s="12">
        <f>('[5]2007'!$E$32+'[5]2007'!$F$32+'[5]2007'!$G$32)/1000</f>
        <v>5390.7732300000007</v>
      </c>
      <c r="H14" s="17">
        <f>('[7]2007'!$E$12+'[7]2007'!$F$12+'[7]2007'!$G$12)/1000</f>
        <v>27767.04744944</v>
      </c>
      <c r="I14" s="12">
        <f>('[5]2007'!$E$40+'[5]2007'!$F$40+'[5]2007'!$G$40)/1000</f>
        <v>9068.2574400000194</v>
      </c>
      <c r="J14" s="12">
        <f>('[5]2007'!$E$115+'[5]2007'!$F$115+'[5]2007'!$G$115)/1000</f>
        <v>9223.1189200000008</v>
      </c>
      <c r="K14" s="17">
        <f>125.34617321584*1000</f>
        <v>125346.17321584</v>
      </c>
    </row>
    <row r="15" spans="1:12" s="4" customFormat="1" ht="13.5" customHeight="1" x14ac:dyDescent="0.2">
      <c r="A15" s="24" t="s">
        <v>30</v>
      </c>
      <c r="B15" s="12">
        <f>('[1]2007'!$H$12+'[1]2007'!$I$12+'[1]2007'!$J$12)/1000</f>
        <v>16543.375</v>
      </c>
      <c r="C15" s="17">
        <f>('[4]2007'!$H$4+'[4]2007'!$I$4+'[4]2007'!$J$4)/1000</f>
        <v>755.95299999999997</v>
      </c>
      <c r="D15" s="12">
        <f>('[5]2007'!$H$28+'[5]2007'!$I$28+'[5]2007'!$J$28)/1000-('[8]2007'!$H$9+'[8]2007'!$I$9+'[8]2007'!$J$9)/1000</f>
        <v>9373.5375675199994</v>
      </c>
      <c r="E15" s="17">
        <f>('[3]2007'!$H$17+'[3]2007'!$I$17+'[3]2007'!$J$17)/1000</f>
        <v>23060.609</v>
      </c>
      <c r="F15" s="12">
        <f>('[5]2007'!$H$8+'[5]2007'!$I$8+'[5]2007'!$J$8)/1000+([6]Sheet1!$E$17)/1000-('[5]2007'!$H$136+'[5]2007'!$I$136+'[5]2007'!$J$136)/1000</f>
        <v>21907.162756820304</v>
      </c>
      <c r="G15" s="12">
        <f>('[5]2007'!$H$32+'[5]2007'!$I$32+'[5]2007'!$J$32)/1000</f>
        <v>3833.0929999999998</v>
      </c>
      <c r="H15" s="17">
        <f>('[7]2007'!$H$12+'[7]2007'!$I$12+'[7]2007'!$J$12)/1000</f>
        <v>34979.096715520005</v>
      </c>
      <c r="I15" s="12">
        <f>('[5]2007'!$H$40+'[5]2007'!$I$40+'[5]2007'!$J$40)/1000</f>
        <v>6931.6639999999998</v>
      </c>
      <c r="J15" s="12">
        <f>('[5]2007'!$H$115+'[5]2007'!$I$115+'[5]2007'!$J$115)/1000</f>
        <v>5279.2529999999997</v>
      </c>
      <c r="K15" s="17">
        <f>122.66374428304*1000</f>
        <v>122663.74428304001</v>
      </c>
    </row>
    <row r="16" spans="1:12" s="4" customFormat="1" ht="13.5" customHeight="1" x14ac:dyDescent="0.2">
      <c r="A16" s="24" t="s">
        <v>31</v>
      </c>
      <c r="B16" s="12">
        <f>('[1]2007'!$K$12+'[1]2007'!$L$12+'[1]2007'!$M$12)/1000</f>
        <v>278.2</v>
      </c>
      <c r="C16" s="17">
        <f>('[4]2007'!$K$4+'[4]2007'!$L$4+'[4]2007'!$M$4)/1000</f>
        <v>2357.8029999999999</v>
      </c>
      <c r="D16" s="12">
        <f>('[5]2007'!$K$28+'[5]2007'!$L$28+'[5]2007'!$M$28)/1000-('[8]2007'!$K$9+'[8]2007'!$L$9+'[8]2007'!$M$9)/1000</f>
        <v>9071.0529846399986</v>
      </c>
      <c r="E16" s="17">
        <f>('[3]2007'!$K$17+'[3]2007'!$L$17+'[3]2007'!$M$17)/1000</f>
        <v>13316.064</v>
      </c>
      <c r="F16" s="12">
        <f>('[5]2007'!$K$8+'[5]2007'!$L$8+'[5]2007'!$M$8)/1000+([6]Sheet1!$E$18)/1000-('[5]2007'!$K$136+'[5]2007'!$L$136+'[5]2007'!$M$136)/1000</f>
        <v>22019.532349185294</v>
      </c>
      <c r="G16" s="12">
        <f>('[5]2007'!$K$32+'[5]2007'!$L$32+'[5]2007'!$M$32)/1000</f>
        <v>2455.6260000000002</v>
      </c>
      <c r="H16" s="17">
        <f>('[7]2007'!$K$12+'[7]2007'!$L$12+'[7]2007'!$M$12)/1000</f>
        <v>41476.204815799996</v>
      </c>
      <c r="I16" s="12">
        <f>('[5]2007'!$K$40+'[5]2007'!$L$40+'[5]2007'!$M$40)/1000</f>
        <v>1440.5029999999999</v>
      </c>
      <c r="J16" s="12">
        <f>('[5]2007'!$K$115+'[5]2007'!$L$115+'[5]2007'!$M$115)/1000</f>
        <v>4222.0280000000002</v>
      </c>
      <c r="K16" s="17">
        <f>96.63701380044*1000</f>
        <v>96637.013800440007</v>
      </c>
    </row>
    <row r="17" spans="1:11" s="4" customFormat="1" ht="13.5" customHeight="1" x14ac:dyDescent="0.2">
      <c r="A17" s="25" t="s">
        <v>17</v>
      </c>
      <c r="B17" s="23">
        <f t="shared" ref="B17:K17" si="2">SUM(B13:B16)</f>
        <v>88141.985000000001</v>
      </c>
      <c r="C17" s="23">
        <f t="shared" si="2"/>
        <v>5804.9830000000002</v>
      </c>
      <c r="D17" s="23">
        <f t="shared" si="2"/>
        <v>39823.821434319994</v>
      </c>
      <c r="E17" s="23">
        <f t="shared" si="2"/>
        <v>106141.705</v>
      </c>
      <c r="F17" s="23">
        <f t="shared" si="2"/>
        <v>64173.823999999993</v>
      </c>
      <c r="G17" s="23">
        <f t="shared" si="2"/>
        <v>18790.234230000002</v>
      </c>
      <c r="H17" s="23">
        <f t="shared" si="2"/>
        <v>122066.30131602001</v>
      </c>
      <c r="I17" s="23">
        <f t="shared" si="2"/>
        <v>26073.873440000021</v>
      </c>
      <c r="J17" s="23">
        <f t="shared" si="2"/>
        <v>25573.918920000004</v>
      </c>
      <c r="K17" s="23">
        <f t="shared" si="2"/>
        <v>496590.64634034003</v>
      </c>
    </row>
    <row r="18" spans="1:11" s="4" customFormat="1" ht="13.5" customHeight="1" x14ac:dyDescent="0.2">
      <c r="A18" s="26">
        <v>2008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s="4" customFormat="1" ht="13.5" customHeight="1" x14ac:dyDescent="0.2">
      <c r="A19" s="24" t="s">
        <v>28</v>
      </c>
      <c r="B19" s="17">
        <f>('[5]2008'!$B$12+'[5]2008'!$C$12+'[5]2008'!$D$12)/1000</f>
        <v>31189.201000000001</v>
      </c>
      <c r="C19" s="17">
        <f>('[4]2008'!$B$4+'[4]2008'!$C$4+'[4]2008'!$D$4)/1000</f>
        <v>1907.741</v>
      </c>
      <c r="D19" s="17">
        <f>('[5]2008'!$B$28+'[5]2008'!$C$28+'[5]2008'!$D$28)/1000-('[8]2008'!$B$9+'[8]2008'!$C$9+'[8]2008'!$D$9)/1000</f>
        <v>16859.287400000001</v>
      </c>
      <c r="E19" s="17">
        <f>('[3]2008'!$B$17+'[3]2008'!$C$17+'[3]2008'!$D$17)/1000</f>
        <v>18570.358</v>
      </c>
      <c r="F19" s="17">
        <f>('[5]2008'!$B$8+'[5]2008'!$C$8+'[5]2008'!$D$8)/1000+([6]Sheet1!$G$11)/1000</f>
        <v>16414.207739999998</v>
      </c>
      <c r="G19" s="17">
        <f>('[5]2008'!$B$32+'[5]2008'!$C$32+'[5]2008'!$D$32)/1000</f>
        <v>321.25599999999997</v>
      </c>
      <c r="H19" s="17">
        <f>('[5]2008'!$B$44+'[5]2008'!$C$44+'[5]2008'!$D$44)/1000</f>
        <v>41940.671999999999</v>
      </c>
      <c r="I19" s="17">
        <f>('[5]2008'!$B$40+'[5]2008'!$C$40+'[5]2008'!$D$40)/1000</f>
        <v>3149.502</v>
      </c>
      <c r="J19" s="17">
        <f>('[5]2008'!$B$114+'[5]2008'!$C$114+'[5]2008'!$D$114)/1000</f>
        <v>6113.1530000000002</v>
      </c>
      <c r="K19" s="17">
        <f>SUM(B19:J19)</f>
        <v>136465.37813999999</v>
      </c>
    </row>
    <row r="20" spans="1:11" s="4" customFormat="1" ht="13.5" customHeight="1" x14ac:dyDescent="0.2">
      <c r="A20" s="24" t="s">
        <v>29</v>
      </c>
      <c r="B20" s="17">
        <f>('[5]2008'!$E$12+'[5]2008'!$F$12+'[5]2008'!$G$12)/1000</f>
        <v>31386.797159999995</v>
      </c>
      <c r="C20" s="17">
        <f>('[4]2008'!$E$4+'[4]2008'!$F$4+'[4]2008'!$G$4)/1000</f>
        <v>600.45000000000005</v>
      </c>
      <c r="D20" s="12">
        <f>('[5]2008'!$E$28+'[5]2008'!$F$28+'[5]2008'!$G$28)/1000-('[8]2008'!$G$14)/1000</f>
        <v>17400.664029999993</v>
      </c>
      <c r="E20" s="17">
        <f>('[3]2008'!$E$17+'[3]2008'!$F$17+'[3]2008'!$G$17)/1000</f>
        <v>24903.142</v>
      </c>
      <c r="F20" s="12">
        <f>('[5]2008'!$E$8+'[5]2008'!$F$8+'[5]2008'!$G$8)/1000+([6]Sheet1!$I$11)/1000</f>
        <v>16488.79952</v>
      </c>
      <c r="G20" s="17">
        <f>('[5]2008'!$E$32+'[5]2008'!$F$32+'[5]2008'!$G$32)/1000</f>
        <v>0</v>
      </c>
      <c r="H20" s="12">
        <f>('[5]2008'!$E$44+'[5]2008'!$F$44+'[5]2008'!$G$44)/1000</f>
        <v>63940.580619200009</v>
      </c>
      <c r="I20" s="12">
        <f>('[5]2008'!$E$40+'[5]2008'!$F$40+'[5]2008'!$G$40)/1000</f>
        <v>6959.1224000000184</v>
      </c>
      <c r="J20" s="12">
        <f>('[5]2008'!$E$114+'[5]2008'!$F$114+'[5]2008'!$G$114)/1000-2.91038304567337E-10</f>
        <v>11233.306179999978</v>
      </c>
      <c r="K20" s="17">
        <f>SUM(B20:J20)</f>
        <v>172912.8619092</v>
      </c>
    </row>
    <row r="21" spans="1:11" s="4" customFormat="1" ht="13.5" customHeight="1" x14ac:dyDescent="0.2">
      <c r="A21" s="24" t="s">
        <v>30</v>
      </c>
      <c r="B21" s="12">
        <f>('[5]2008'!$H$12+'[5]2008'!$I$12+'[5]2008'!$J$12)/1000</f>
        <v>8788.5660000000007</v>
      </c>
      <c r="C21" s="17">
        <f>('[4]2008'!$H$4+'[4]2008'!$I$4+'[4]2008'!$J$4)/1000</f>
        <v>1300.068</v>
      </c>
      <c r="D21" s="12">
        <f>('[5]2008'!$H$28+'[5]2008'!$I$28+'[5]2008'!$J$28)/1000-('[8]2008'!$H$9+'[8]2008'!$I$9+'[8]2008'!$J$9)/1000</f>
        <v>17196.252999999997</v>
      </c>
      <c r="E21" s="17">
        <f>('[3]2008'!$H$17+'[3]2008'!$I$17+'[3]2008'!$J$17)/1000</f>
        <v>23463.737000000001</v>
      </c>
      <c r="F21" s="12">
        <f>('[5]2008'!$H$8+'[5]2008'!$I$8+'[5]2008'!$J$8)/1000+([6]Sheet1!$K$11)/1000</f>
        <v>22351.47019</v>
      </c>
      <c r="G21" s="17">
        <f>('[5]2008'!$H$32+'[5]2008'!$I$32+'[5]2008'!$J$32)/1000</f>
        <v>0</v>
      </c>
      <c r="H21" s="12">
        <f>('[5]2008'!$H$44+'[5]2008'!$I$44+'[5]2008'!$J$44)/1000</f>
        <v>85549.121480800008</v>
      </c>
      <c r="I21" s="12">
        <f>('[5]2008'!$H$40+'[5]2008'!$I$40+'[5]2008'!$J$40)/1000</f>
        <v>6666.0020000000004</v>
      </c>
      <c r="J21" s="12">
        <f>('[5]2008'!$H$114+'[5]2008'!$I$114+'[5]2008'!$J$114)/1000</f>
        <v>8547.7909999999993</v>
      </c>
      <c r="K21" s="17">
        <f>SUM(B21:J21)</f>
        <v>173863.00867080002</v>
      </c>
    </row>
    <row r="22" spans="1:11" s="4" customFormat="1" ht="13.5" customHeight="1" x14ac:dyDescent="0.2">
      <c r="A22" s="24" t="s">
        <v>31</v>
      </c>
      <c r="B22" s="12">
        <f>('[5]2008'!$K$12+'[5]2008'!$L$12+'[5]2008'!$M$12)/1000</f>
        <v>19</v>
      </c>
      <c r="C22" s="31">
        <f>('[4]2008'!$K$4+'[4]2008'!$L$4+'[4]2008'!$M$4)/1000</f>
        <v>-249.25899999999999</v>
      </c>
      <c r="D22" s="12">
        <f>('[5]2008'!$K$28+'[5]2008'!$L$28+'[5]2008'!$M$28)/1000-('[8]2008'!$K$9+'[8]2008'!$L$9+'[8]2008'!$M$9)/1000</f>
        <v>12548.82028</v>
      </c>
      <c r="E22" s="17">
        <f>('[3]2008'!$K$17+'[3]2008'!$L$17+'[3]2008'!$M$17)/1000</f>
        <v>22726.128000000001</v>
      </c>
      <c r="F22" s="12">
        <f>('[5]2008'!$K$8+'[5]2008'!$L$8+'[5]2008'!$M$8)/1000+([6]Sheet1!$M$11)/1000</f>
        <v>14309.601999999999</v>
      </c>
      <c r="G22" s="17">
        <f>('[5]2008'!$K$32+'[5]2008'!$L$32+'[5]2008'!$M$32)/1000</f>
        <v>0</v>
      </c>
      <c r="H22" s="12">
        <f>('[5]2008'!$K$44+'[5]2008'!$L$44+'[5]2008'!$M$44)/1000</f>
        <v>39496.482000000004</v>
      </c>
      <c r="I22" s="12">
        <f>('[5]2008'!$K$40+'[5]2008'!$L$40+'[5]2008'!$M$40)/1000</f>
        <v>5667.2049999999999</v>
      </c>
      <c r="J22" s="12">
        <f>('[5]2008'!$K$114+'[5]2008'!$L$114+'[5]2008'!$M$114)/1000+2859.48889721</f>
        <v>10864.001387209999</v>
      </c>
      <c r="K22" s="17">
        <f>SUM(B22:J22)</f>
        <v>105381.97966720999</v>
      </c>
    </row>
    <row r="23" spans="1:11" s="4" customFormat="1" ht="13.5" customHeight="1" x14ac:dyDescent="0.2">
      <c r="A23" s="25" t="s">
        <v>17</v>
      </c>
      <c r="B23" s="23">
        <f t="shared" ref="B23:I23" si="3">SUM(B19:B22)</f>
        <v>71383.564159999994</v>
      </c>
      <c r="C23" s="23">
        <f t="shared" si="3"/>
        <v>3559</v>
      </c>
      <c r="D23" s="23">
        <f t="shared" si="3"/>
        <v>64005.024709999991</v>
      </c>
      <c r="E23" s="23">
        <f>SUM(E19:E22)</f>
        <v>89663.364999999991</v>
      </c>
      <c r="F23" s="23">
        <f t="shared" si="3"/>
        <v>69564.07944999999</v>
      </c>
      <c r="G23" s="23">
        <f t="shared" si="3"/>
        <v>321.25599999999997</v>
      </c>
      <c r="H23" s="23">
        <f t="shared" si="3"/>
        <v>230926.85610000003</v>
      </c>
      <c r="I23" s="23">
        <f t="shared" si="3"/>
        <v>22441.831400000017</v>
      </c>
      <c r="J23" s="23">
        <f>SUM(J19:J22)</f>
        <v>36758.251567209969</v>
      </c>
      <c r="K23" s="23">
        <f>SUM(K19:K22)</f>
        <v>588623.22838721005</v>
      </c>
    </row>
    <row r="24" spans="1:11" s="4" customFormat="1" ht="13.5" customHeight="1" x14ac:dyDescent="0.2">
      <c r="A24" s="27">
        <v>2009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s="4" customFormat="1" ht="13.5" customHeight="1" x14ac:dyDescent="0.2">
      <c r="A25" s="24" t="s">
        <v>28</v>
      </c>
      <c r="B25" s="17">
        <f>('[9]2009'!$B$12+'[9]2009'!$C$12+'[9]2009'!$D$12)/1000</f>
        <v>40398.567000000003</v>
      </c>
      <c r="C25" s="17">
        <f>('[10]2009'!$B$4+'[10]2009'!$C$4+'[10]2009'!$D$4)/1000</f>
        <v>690.97199999999998</v>
      </c>
      <c r="D25" s="17">
        <f>('[11]2009'!$B$4+'[11]2009'!$C$4+'[11]2009'!$D$4)/1000</f>
        <v>14896.2585</v>
      </c>
      <c r="E25" s="17">
        <f>('[12]2009'!$B$17+'[12]2009'!$C$17+'[12]2009'!$D$17)/1000</f>
        <v>14782.882</v>
      </c>
      <c r="F25" s="17">
        <f>('[9]2009'!$B$8+'[9]2009'!$C$8+'[9]2009'!$D$8)/1000+([13]Sheet1!$O$11)/1000</f>
        <v>15073.568370000001</v>
      </c>
      <c r="G25" s="17">
        <v>0</v>
      </c>
      <c r="H25" s="17">
        <f>('[9]2009'!$B$44+'[9]2009'!$C$44+'[9]2009'!$D$44)/1000</f>
        <v>13584.39</v>
      </c>
      <c r="I25" s="17">
        <f>('[9]2009'!$B$40+'[9]2009'!$C$40+'[9]2009'!$D$40)/1000</f>
        <v>5654.1139999999996</v>
      </c>
      <c r="J25" s="17">
        <f>('[9]2009'!$B$114+'[9]2009'!$C$114+'[9]2009'!$D$114)/1000-0.000320000006468035</f>
        <v>11032.924679999993</v>
      </c>
      <c r="K25" s="17">
        <f>SUM(B25:J25)</f>
        <v>116113.67654999999</v>
      </c>
    </row>
    <row r="26" spans="1:11" s="4" customFormat="1" ht="13.5" customHeight="1" x14ac:dyDescent="0.2">
      <c r="A26" s="24" t="s">
        <v>29</v>
      </c>
      <c r="B26" s="12">
        <f>('[9]2009'!$E$12+'[9]2009'!$F$12+'[9]2009'!$G$12)/1000</f>
        <v>28284.907859999999</v>
      </c>
      <c r="C26" s="17">
        <f>('[10]2009'!$F$4+'[10]2009'!$G$4+'[10]2009'!$H$4)/1000</f>
        <v>1413.894</v>
      </c>
      <c r="D26" s="12">
        <f>('[11]2009'!$E$4+'[11]2009'!$F$4+'[11]2009'!$G$4)/1000</f>
        <v>19527.060160000001</v>
      </c>
      <c r="E26" s="17">
        <f>('[12]2009'!$E$17+'[12]2009'!$F$17+'[12]2009'!$G$17)/1000</f>
        <v>20606.334999999999</v>
      </c>
      <c r="F26" s="12">
        <f>('[9]2009'!$E$8+'[9]2009'!$F$8+'[9]2009'!$G$8)/1000+([13]Sheet1!$Q$11)/1000</f>
        <v>13931.183119999998</v>
      </c>
      <c r="G26" s="12">
        <v>0</v>
      </c>
      <c r="H26" s="12">
        <f>('[9]2009'!$E$44+'[9]2009'!$F$44+'[9]2009'!$G$44)/1000</f>
        <v>29468.4921584</v>
      </c>
      <c r="I26" s="12">
        <f>('[9]2009'!$E$40+'[9]2009'!$F$40+'[9]2009'!$G$40)/1000</f>
        <v>4932.3564400000032</v>
      </c>
      <c r="J26" s="12">
        <f>('[1]2009'!$E$114+'[1]2009'!$F$114+'[1]2009'!$G$114)/1000</f>
        <v>13306.884110000014</v>
      </c>
      <c r="K26" s="17">
        <f>SUM(B26:J26)</f>
        <v>131471.11284840002</v>
      </c>
    </row>
    <row r="27" spans="1:11" s="4" customFormat="1" ht="13.5" customHeight="1" x14ac:dyDescent="0.2">
      <c r="A27" s="24" t="s">
        <v>30</v>
      </c>
      <c r="B27" s="12">
        <f>('[9]2009'!$H$12+'[9]2009'!$I$12+'[9]2009'!$J$12)/1000</f>
        <v>20340.868340000001</v>
      </c>
      <c r="C27" s="17">
        <f>('[10]2009'!$H$4+'[10]2009'!$I$4+'[10]2009'!$J$4)/1000</f>
        <v>1044.4100000000001</v>
      </c>
      <c r="D27" s="12">
        <f>('[11]2009'!$H$4+'[11]2009'!$I$4+'[11]2009'!$J$4)/1000</f>
        <v>17789.02378</v>
      </c>
      <c r="E27" s="17">
        <f>('[12]2009'!$H$17+'[12]2009'!$I$17+'[12]2009'!$J$17)/1000</f>
        <v>20726.047999999999</v>
      </c>
      <c r="F27" s="12">
        <f>('[9]2009'!$H$8+'[9]2009'!$I$8+'[9]2009'!$J$8)/1000+([13]Sheet1!$S$11)/1000</f>
        <v>15144.613970000002</v>
      </c>
      <c r="G27" s="12">
        <v>0</v>
      </c>
      <c r="H27" s="12">
        <f>('[9]2009'!$H$44+'[9]2009'!$I$44+'[9]2009'!$J$44)/1000</f>
        <v>38860.758176799995</v>
      </c>
      <c r="I27" s="12">
        <f>('[9]2009'!$H$40+'[9]2009'!$I$40+'[9]2009'!$J$40)/1000</f>
        <v>6433.8100500000101</v>
      </c>
      <c r="J27" s="12">
        <f>('[1]2009'!$H$114+'[1]2009'!$I$114+'[1]2009'!$J$114)/1000</f>
        <v>11499.585719999903</v>
      </c>
      <c r="K27" s="17">
        <f>SUM(B27:J27)</f>
        <v>131839.11803679992</v>
      </c>
    </row>
    <row r="28" spans="1:11" s="4" customFormat="1" ht="13.5" customHeight="1" x14ac:dyDescent="0.2">
      <c r="A28" s="24" t="s">
        <v>31</v>
      </c>
      <c r="B28" s="12">
        <f>('[9]2009'!$K$12+'[9]2009'!$L$12+'[9]2009'!$M$12)/1000</f>
        <v>38</v>
      </c>
      <c r="C28" s="17">
        <f>('[10]2009'!$K$4+'[10]2009'!$L$4+'[10]2009'!$M$4)/1000</f>
        <v>718.72400000000005</v>
      </c>
      <c r="D28" s="12">
        <f>('[11]2009'!$K$4+'[11]2009'!$L$4+'[11]2009'!$M$4)/1000</f>
        <v>14646.512349999999</v>
      </c>
      <c r="E28" s="17">
        <f>('[12]2009'!$K$17+'[12]2009'!$L$17+'[12]2009'!$M$17)/1000</f>
        <v>17874.205999999998</v>
      </c>
      <c r="F28" s="12">
        <f>('[9]2009'!$K$8+'[9]2009'!$L$8+'[9]2009'!$M$8)/1000+([13]Sheet1!$U$11)/1000</f>
        <v>19923.616571999999</v>
      </c>
      <c r="G28" s="12">
        <v>0</v>
      </c>
      <c r="H28" s="12">
        <f>('[9]2009'!$K$44+'[9]2009'!$L$44+'[9]2009'!$M$44)/1000</f>
        <v>38722.758040000001</v>
      </c>
      <c r="I28" s="12">
        <f>('[9]2009'!$K$40+'[9]2009'!$L$40+'[9]2009'!$M$40)/1000</f>
        <v>4819.9350000000004</v>
      </c>
      <c r="J28" s="12">
        <f>('[1]2009'!$K$114+'[1]2009'!$L$114+'[1]2009'!$M$114)/1000</f>
        <v>15456.731</v>
      </c>
      <c r="K28" s="17">
        <f>SUM(B28:J28)</f>
        <v>112200.48296199999</v>
      </c>
    </row>
    <row r="29" spans="1:11" s="4" customFormat="1" ht="13.5" customHeight="1" x14ac:dyDescent="0.2">
      <c r="A29" s="25" t="s">
        <v>17</v>
      </c>
      <c r="B29" s="23">
        <f t="shared" ref="B29:I29" si="4">SUM(B25:B28)</f>
        <v>89062.343200000003</v>
      </c>
      <c r="C29" s="23">
        <f t="shared" si="4"/>
        <v>3868</v>
      </c>
      <c r="D29" s="23">
        <f t="shared" si="4"/>
        <v>66858.854790000012</v>
      </c>
      <c r="E29" s="23">
        <f t="shared" si="4"/>
        <v>73989.47099999999</v>
      </c>
      <c r="F29" s="23">
        <f t="shared" si="4"/>
        <v>64072.982032</v>
      </c>
      <c r="G29" s="23">
        <f t="shared" si="4"/>
        <v>0</v>
      </c>
      <c r="H29" s="23">
        <f t="shared" si="4"/>
        <v>120636.39837519999</v>
      </c>
      <c r="I29" s="23">
        <f t="shared" si="4"/>
        <v>21840.215490000013</v>
      </c>
      <c r="J29" s="23">
        <f>SUM(J25:J28)</f>
        <v>51296.125509999911</v>
      </c>
      <c r="K29" s="23">
        <f>SUM(K25:K28)</f>
        <v>491624.39039719995</v>
      </c>
    </row>
    <row r="30" spans="1:11" s="4" customFormat="1" ht="13.5" customHeight="1" x14ac:dyDescent="0.2">
      <c r="A30" s="26">
        <v>2010</v>
      </c>
      <c r="B30" s="12"/>
      <c r="C30" s="12"/>
      <c r="D30" s="12"/>
      <c r="E30" s="12"/>
      <c r="F30" s="32"/>
      <c r="G30" s="12"/>
      <c r="H30" s="12"/>
      <c r="I30" s="12"/>
      <c r="J30" s="12"/>
      <c r="K30" s="17"/>
    </row>
    <row r="31" spans="1:11" s="4" customFormat="1" ht="13.5" customHeight="1" x14ac:dyDescent="0.2">
      <c r="A31" s="24" t="s">
        <v>28</v>
      </c>
      <c r="B31" s="17">
        <f>('[9]2010'!$B$12+'[9]2010'!$C$12+'[9]2010'!$D$12)/1000</f>
        <v>12571.43543</v>
      </c>
      <c r="C31" s="17">
        <f>('[10]2010'!$B$4+'[10]2010'!$C$4+'[10]2010'!$D$4)/1000</f>
        <v>893.31</v>
      </c>
      <c r="D31" s="17">
        <f>('[11]2010'!$B$4+'[11]2010'!$C$4+'[11]2010'!$D$4)/1000</f>
        <v>18140.045839999999</v>
      </c>
      <c r="E31" s="17">
        <f>('[12]2010'!$B$17+'[12]2010'!$C$17+'[12]2010'!$D$17)/1000</f>
        <v>26337.394</v>
      </c>
      <c r="F31" s="17">
        <f>('[9]2010'!$B$8+'[9]2010'!$C$8+'[9]2010'!$D$8)/1000+([13]Sheet1!$W$11)/1000</f>
        <v>12704.96542</v>
      </c>
      <c r="G31" s="12">
        <v>0</v>
      </c>
      <c r="H31" s="17">
        <f>('[9]2010'!$B$44+'[9]2010'!$C$44+'[9]2010'!$D$44)/1000</f>
        <v>55107.826415800002</v>
      </c>
      <c r="I31" s="17">
        <f>('[9]2010'!$B$40+'[9]2010'!$C$40+'[9]2010'!$D$40)/1000</f>
        <v>7021.5337800000088</v>
      </c>
      <c r="J31" s="17">
        <f>('[9]2010'!$B$114+'[9]2010'!$C$114+'[9]2010'!$D$114)/1000</f>
        <v>9451.3007300000008</v>
      </c>
      <c r="K31" s="17">
        <f>B31+C31+D31+E31+F31+H31+I31+J31</f>
        <v>142227.81161579999</v>
      </c>
    </row>
    <row r="32" spans="1:11" s="4" customFormat="1" ht="13.5" customHeight="1" x14ac:dyDescent="0.2">
      <c r="A32" s="24" t="s">
        <v>29</v>
      </c>
      <c r="B32" s="12">
        <f>('[9]2010'!$E$12+'[9]2010'!$F$12+'[9]2010'!$G$12)/1000</f>
        <v>29850.976999999999</v>
      </c>
      <c r="C32" s="17">
        <v>1057.5509999999999</v>
      </c>
      <c r="D32" s="17">
        <f>('[11]2010'!$E$4+'[11]2010'!$F$4+'[11]2010'!$G$4)/1000</f>
        <v>20879.566599999998</v>
      </c>
      <c r="E32" s="17">
        <f>('[12]2010'!$E$17+'[12]2010'!$F$17+'[12]2010'!$G$17)/1000</f>
        <v>29116.687999999998</v>
      </c>
      <c r="F32" s="17">
        <f>('[9]2010'!$E$8+'[9]2010'!$F$8+'[9]2010'!$G$8)/1000+([13]Sheet1!$Y$11)/1000</f>
        <v>19210.857672000002</v>
      </c>
      <c r="G32" s="12">
        <v>0</v>
      </c>
      <c r="H32" s="17">
        <f>('[9]2010'!$E$44+'[9]2010'!$F$44+'[9]2010'!$G$44)/1000</f>
        <v>45025.457000000002</v>
      </c>
      <c r="I32" s="17">
        <f>('[9]2010'!$E$40+'[9]2010'!$F$40+'[9]2010'!$G$40)/1000</f>
        <v>6197.3370000000004</v>
      </c>
      <c r="J32" s="12">
        <f>('[9]2010'!$E$114+'[9]2010'!$F$114+'[9]2010'!$G$114)/1000</f>
        <v>12176.183000000001</v>
      </c>
      <c r="K32" s="17">
        <f>B32+C32+D32+E32+F32+H32+I32+J32</f>
        <v>163514.61727199997</v>
      </c>
    </row>
    <row r="33" spans="1:11" s="4" customFormat="1" ht="13.5" customHeight="1" x14ac:dyDescent="0.2">
      <c r="A33" s="24" t="s">
        <v>30</v>
      </c>
      <c r="B33" s="12">
        <f>('[9]2010'!$H$12+'[9]2010'!$I$12+'[9]2010'!$J$12)/1000</f>
        <v>16279.620999999999</v>
      </c>
      <c r="C33" s="17">
        <f>('[10]2010'!$H$4+'[10]2010'!$I$4+'[10]2010'!$J$4)/1000</f>
        <v>2044.287</v>
      </c>
      <c r="D33" s="17">
        <f>('[11]2010'!$H$4+'[11]2010'!$I$4+'[11]2010'!$J$4)/1000</f>
        <v>15837.7703</v>
      </c>
      <c r="E33" s="17">
        <f>('[12]2010'!$H$17+'[12]2010'!$I$17+'[12]2010'!$J$17)/1000</f>
        <v>25504.151000000002</v>
      </c>
      <c r="F33" s="17">
        <f>('[9]2010'!$H$8+'[9]2010'!$I$8+'[9]2010'!$J$8)/1000+([13]Sheet1!$AA$11)/1000</f>
        <v>16418.106499999998</v>
      </c>
      <c r="G33" s="12">
        <f>('[9]2010'!$H$32+'[9]2010'!$I$32+'[9]2010'!$J$32)/1000</f>
        <v>167.245</v>
      </c>
      <c r="H33" s="17">
        <f>('[9]2010'!$H$44+'[9]2010'!$I$44+'[9]2010'!$J$44)/1000</f>
        <v>43709.446000000004</v>
      </c>
      <c r="I33" s="17">
        <f>('[9]2010'!$H$40+'[9]2010'!$I$40+'[9]2010'!$J$40)/1000</f>
        <v>6519.3959999999997</v>
      </c>
      <c r="J33" s="12">
        <f>('[9]2010'!$H$114+'[9]2010'!$I$114+'[9]2010'!$J$114)/1000</f>
        <v>13185.984</v>
      </c>
      <c r="K33" s="17">
        <f>B33+C33+D33+E33+F33+H33+I33+J33+G33</f>
        <v>139666.0068</v>
      </c>
    </row>
    <row r="34" spans="1:11" s="4" customFormat="1" ht="13.5" customHeight="1" x14ac:dyDescent="0.2">
      <c r="A34" s="24" t="s">
        <v>31</v>
      </c>
      <c r="B34" s="12">
        <f>('[9]2010'!$K$12+'[9]2010'!$L$12+'[9]2010'!$M$12)/1000</f>
        <v>19</v>
      </c>
      <c r="C34" s="12">
        <v>264.7</v>
      </c>
      <c r="D34" s="12">
        <f>('[11]2010'!$K$4+'[11]2010'!$L$4+'[11]2010'!$M$4)/1000</f>
        <v>16785.950280000001</v>
      </c>
      <c r="E34" s="12">
        <f>('[12]2010'!$K$17+'[12]2010'!$L$17+'[12]2010'!$M$17)/1000</f>
        <v>12725.386</v>
      </c>
      <c r="F34" s="12">
        <f>('[9]2010'!$K$8+'[9]2010'!$L$8+'[9]2010'!$M$8)/1000+([13]Sheet1!$AC$11)/1000</f>
        <v>19493.721370000003</v>
      </c>
      <c r="G34" s="12">
        <v>0</v>
      </c>
      <c r="H34" s="12">
        <f>('[9]2010'!$K$44+'[9]2010'!$L$44+'[9]2010'!$M$44)/1000</f>
        <v>57429.807999999997</v>
      </c>
      <c r="I34" s="12">
        <f>('[9]2010'!$K$40+'[9]2010'!$L$40+'[9]2010'!$M$40)/1000</f>
        <v>6153.9650000000001</v>
      </c>
      <c r="J34" s="12">
        <f>('[9]2010'!$K$114+'[9]2010'!$L$114+'[9]2010'!$M$114)/1000+0.00099999998979</f>
        <v>11127.695999999989</v>
      </c>
      <c r="K34" s="17">
        <f t="shared" ref="K34:K35" si="5">B34+C34+D34+E34+F34+H34+I34+J34+G34</f>
        <v>124000.22665</v>
      </c>
    </row>
    <row r="35" spans="1:11" s="4" customFormat="1" ht="13.5" customHeight="1" x14ac:dyDescent="0.2">
      <c r="A35" s="25" t="s">
        <v>17</v>
      </c>
      <c r="B35" s="23">
        <f>SUM(B31:B34)</f>
        <v>58721.033429999996</v>
      </c>
      <c r="C35" s="23">
        <f>SUM(C31:C34)</f>
        <v>4259.848</v>
      </c>
      <c r="D35" s="23">
        <f>SUM(D31:D34)</f>
        <v>71643.333020000005</v>
      </c>
      <c r="E35" s="23">
        <f t="shared" ref="E35:J35" si="6">SUM(E31:E34)</f>
        <v>93683.618999999992</v>
      </c>
      <c r="F35" s="23">
        <f t="shared" si="6"/>
        <v>67827.650962</v>
      </c>
      <c r="G35" s="23">
        <f t="shared" si="6"/>
        <v>167.245</v>
      </c>
      <c r="H35" s="23">
        <f t="shared" si="6"/>
        <v>201272.5374158</v>
      </c>
      <c r="I35" s="23">
        <f t="shared" si="6"/>
        <v>25892.231780000009</v>
      </c>
      <c r="J35" s="23">
        <f t="shared" si="6"/>
        <v>45941.163729999993</v>
      </c>
      <c r="K35" s="23">
        <f t="shared" si="5"/>
        <v>569408.66233780002</v>
      </c>
    </row>
    <row r="36" spans="1:11" s="4" customFormat="1" ht="12.75" x14ac:dyDescent="0.2">
      <c r="A36" s="25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s="4" customFormat="1" ht="12.75" x14ac:dyDescent="0.2">
      <c r="A37" s="25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44" spans="1:11" ht="11.25" customHeight="1" x14ac:dyDescent="0.15"/>
  </sheetData>
  <printOptions horizontalCentered="1"/>
  <pageMargins left="0.5" right="0.5" top="0.5" bottom="0.5" header="0.5" footer="0.25"/>
  <pageSetup scale="80" firstPageNumber="3" orientation="portrait" useFirstPageNumber="1" r:id="rId1"/>
  <headerFooter>
    <oddHeader xml:space="preserve">&amp;C
</oddHeader>
    <oddFooter xml:space="preserve">&amp;C&amp;"Arial,Regular"&amp;P&amp;R&amp;"Arial,Bold"&amp;12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L53"/>
  <sheetViews>
    <sheetView showGridLines="0" zoomScaleNormal="100" workbookViewId="0">
      <pane xSplit="1" ySplit="5" topLeftCell="B15" activePane="bottomRight" state="frozen"/>
      <selection pane="topRight" activeCell="B1" sqref="B1"/>
      <selection pane="bottomLeft" activeCell="A10" sqref="A10"/>
      <selection pane="bottomRight" sqref="A1:J1"/>
    </sheetView>
  </sheetViews>
  <sheetFormatPr defaultColWidth="9.625" defaultRowHeight="12" x14ac:dyDescent="0.15"/>
  <cols>
    <col min="1" max="1" width="10.75" customWidth="1"/>
    <col min="2" max="2" width="10.125" customWidth="1"/>
    <col min="3" max="3" width="11.375" customWidth="1"/>
    <col min="4" max="9" width="10.125" customWidth="1"/>
    <col min="10" max="10" width="10.125" style="10" customWidth="1"/>
    <col min="11" max="11" width="13" bestFit="1" customWidth="1"/>
    <col min="12" max="12" width="12.75" customWidth="1"/>
  </cols>
  <sheetData>
    <row r="1" spans="1:11" ht="18" customHeight="1" x14ac:dyDescent="0.15">
      <c r="A1" s="56" t="s">
        <v>60</v>
      </c>
      <c r="B1" s="56"/>
      <c r="C1" s="56"/>
      <c r="D1" s="56"/>
      <c r="E1" s="56"/>
      <c r="F1" s="56"/>
      <c r="G1" s="56"/>
      <c r="H1" s="56"/>
      <c r="I1" s="56"/>
      <c r="J1" s="56"/>
      <c r="K1" s="19"/>
    </row>
    <row r="2" spans="1:11" ht="14.2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19"/>
    </row>
    <row r="3" spans="1:11" ht="14.25" customHeight="1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</row>
    <row r="4" spans="1:11" s="4" customFormat="1" ht="12.75" x14ac:dyDescent="0.15">
      <c r="A4" s="42"/>
      <c r="B4" s="42"/>
      <c r="C4" s="42"/>
      <c r="D4" s="42"/>
      <c r="E4" s="42" t="s">
        <v>1</v>
      </c>
      <c r="F4" s="42" t="s">
        <v>2</v>
      </c>
      <c r="G4" s="42" t="s">
        <v>27</v>
      </c>
      <c r="H4" s="42"/>
      <c r="I4" s="42"/>
      <c r="J4" s="44"/>
    </row>
    <row r="5" spans="1:11" s="4" customFormat="1" ht="15" customHeight="1" x14ac:dyDescent="0.15">
      <c r="A5" s="43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34</v>
      </c>
      <c r="H5" s="43" t="s">
        <v>36</v>
      </c>
      <c r="I5" s="43" t="s">
        <v>35</v>
      </c>
      <c r="J5" s="45" t="s">
        <v>17</v>
      </c>
    </row>
    <row r="6" spans="1:11" s="4" customFormat="1" ht="15" customHeight="1" x14ac:dyDescent="0.2">
      <c r="A6" s="26">
        <v>2011</v>
      </c>
      <c r="B6" s="23"/>
      <c r="C6" s="23"/>
      <c r="D6" s="33"/>
      <c r="E6" s="34"/>
      <c r="F6" s="35"/>
      <c r="G6" s="23"/>
      <c r="H6" s="34"/>
      <c r="I6" s="34"/>
      <c r="J6" s="23"/>
    </row>
    <row r="7" spans="1:11" s="4" customFormat="1" ht="13.5" customHeight="1" x14ac:dyDescent="0.2">
      <c r="A7" s="24" t="s">
        <v>28</v>
      </c>
      <c r="B7" s="17">
        <v>20430.784019999999</v>
      </c>
      <c r="C7" s="17">
        <v>552.12599999999998</v>
      </c>
      <c r="D7" s="17">
        <v>17276.127680000001</v>
      </c>
      <c r="E7" s="17">
        <v>41491.32</v>
      </c>
      <c r="F7" s="12">
        <v>13237.373450000001</v>
      </c>
      <c r="G7" s="17">
        <v>80395.814079999996</v>
      </c>
      <c r="H7" s="17">
        <v>7557.8578399999997</v>
      </c>
      <c r="I7" s="17">
        <v>13151.300730000001</v>
      </c>
      <c r="J7" s="17">
        <v>194092.70379999999</v>
      </c>
    </row>
    <row r="8" spans="1:11" s="4" customFormat="1" ht="13.5" customHeight="1" x14ac:dyDescent="0.2">
      <c r="A8" s="24" t="s">
        <v>29</v>
      </c>
      <c r="B8" s="17">
        <v>57724.551470000006</v>
      </c>
      <c r="C8" s="17">
        <v>1860.64</v>
      </c>
      <c r="D8" s="17">
        <v>20964.78268</v>
      </c>
      <c r="E8" s="17">
        <v>22345.305</v>
      </c>
      <c r="F8" s="12">
        <v>15105.696065</v>
      </c>
      <c r="G8" s="17">
        <v>80047.914099999995</v>
      </c>
      <c r="H8" s="17">
        <v>7471.7282599999999</v>
      </c>
      <c r="I8" s="17">
        <v>17620.727739999998</v>
      </c>
      <c r="J8" s="17">
        <v>223141.34531500001</v>
      </c>
    </row>
    <row r="9" spans="1:11" s="4" customFormat="1" ht="13.5" customHeight="1" x14ac:dyDescent="0.2">
      <c r="A9" s="24" t="s">
        <v>30</v>
      </c>
      <c r="B9" s="17">
        <v>11929.98149</v>
      </c>
      <c r="C9" s="17">
        <v>476.52499999999998</v>
      </c>
      <c r="D9" s="17">
        <v>16939.529600000002</v>
      </c>
      <c r="E9" s="17">
        <v>16087.31</v>
      </c>
      <c r="F9" s="17">
        <v>15530.490005000001</v>
      </c>
      <c r="G9" s="17">
        <v>59127.042179999997</v>
      </c>
      <c r="H9" s="17">
        <v>5467.5116600000001</v>
      </c>
      <c r="I9" s="17">
        <v>15539.209219999999</v>
      </c>
      <c r="J9" s="17">
        <v>141097.599155</v>
      </c>
    </row>
    <row r="10" spans="1:11" s="4" customFormat="1" ht="13.5" customHeight="1" x14ac:dyDescent="0.2">
      <c r="A10" s="24" t="s">
        <v>31</v>
      </c>
      <c r="B10" s="17">
        <v>46</v>
      </c>
      <c r="C10" s="17">
        <v>518.70899999999995</v>
      </c>
      <c r="D10" s="17">
        <v>12758.55962</v>
      </c>
      <c r="E10" s="17">
        <v>15169.462</v>
      </c>
      <c r="F10" s="17">
        <v>18657.815850796498</v>
      </c>
      <c r="G10" s="17">
        <v>72516.669239999988</v>
      </c>
      <c r="H10" s="17">
        <v>5445.2174600000008</v>
      </c>
      <c r="I10" s="17">
        <v>21097.253270000001</v>
      </c>
      <c r="J10" s="17">
        <v>146209.68644079647</v>
      </c>
    </row>
    <row r="11" spans="1:11" s="4" customFormat="1" ht="13.5" customHeight="1" x14ac:dyDescent="0.2">
      <c r="A11" s="25" t="s">
        <v>17</v>
      </c>
      <c r="B11" s="23">
        <v>90131.316980000003</v>
      </c>
      <c r="C11" s="23">
        <v>3408</v>
      </c>
      <c r="D11" s="23">
        <v>67938.999580000003</v>
      </c>
      <c r="E11" s="23">
        <v>95093.396999999997</v>
      </c>
      <c r="F11" s="23">
        <v>62531.375370796501</v>
      </c>
      <c r="G11" s="23">
        <v>292087.43959999993</v>
      </c>
      <c r="H11" s="23">
        <v>25942.31522</v>
      </c>
      <c r="I11" s="23">
        <v>67408.490959999996</v>
      </c>
      <c r="J11" s="23">
        <v>704541.33471079648</v>
      </c>
    </row>
    <row r="12" spans="1:11" s="4" customFormat="1" ht="13.5" customHeight="1" x14ac:dyDescent="0.2">
      <c r="A12" s="26">
        <v>2012</v>
      </c>
      <c r="B12" s="23"/>
      <c r="C12" s="23"/>
      <c r="D12" s="23"/>
      <c r="E12" s="23"/>
      <c r="F12" s="23"/>
      <c r="G12" s="36"/>
      <c r="H12" s="34"/>
      <c r="I12" s="23"/>
      <c r="J12" s="17"/>
    </row>
    <row r="13" spans="1:11" s="4" customFormat="1" ht="13.5" customHeight="1" x14ac:dyDescent="0.2">
      <c r="A13" s="24" t="s">
        <v>28</v>
      </c>
      <c r="B13" s="17">
        <v>48328.161</v>
      </c>
      <c r="C13" s="17">
        <v>1608.39</v>
      </c>
      <c r="D13" s="17">
        <v>24407.719679999998</v>
      </c>
      <c r="E13" s="17">
        <v>46869.133580000002</v>
      </c>
      <c r="F13" s="17">
        <v>13854.340786000001</v>
      </c>
      <c r="G13" s="17">
        <v>43699.265659999997</v>
      </c>
      <c r="H13" s="17">
        <v>3817.5155199999995</v>
      </c>
      <c r="I13" s="17">
        <v>23324.082620000001</v>
      </c>
      <c r="J13" s="17">
        <v>205908.60884599999</v>
      </c>
    </row>
    <row r="14" spans="1:11" s="4" customFormat="1" ht="13.5" customHeight="1" x14ac:dyDescent="0.2">
      <c r="A14" s="24" t="s">
        <v>29</v>
      </c>
      <c r="B14" s="17">
        <v>44986.644999999997</v>
      </c>
      <c r="C14" s="17">
        <v>1438.1990000000001</v>
      </c>
      <c r="D14" s="17">
        <v>27161.318460000002</v>
      </c>
      <c r="E14" s="17">
        <v>25593.859660000002</v>
      </c>
      <c r="F14" s="17">
        <v>11440.811288000001</v>
      </c>
      <c r="G14" s="17">
        <v>45389.920420000002</v>
      </c>
      <c r="H14" s="17">
        <v>3727.2959900000001</v>
      </c>
      <c r="I14" s="17">
        <v>19722.574310000004</v>
      </c>
      <c r="J14" s="17">
        <v>179460.624128</v>
      </c>
    </row>
    <row r="15" spans="1:11" s="4" customFormat="1" ht="13.5" customHeight="1" x14ac:dyDescent="0.2">
      <c r="A15" s="24" t="s">
        <v>30</v>
      </c>
      <c r="B15" s="17">
        <v>14201.596</v>
      </c>
      <c r="C15" s="17">
        <v>758.63900000000001</v>
      </c>
      <c r="D15" s="17">
        <v>22463.84996</v>
      </c>
      <c r="E15" s="17">
        <v>26596.714319999999</v>
      </c>
      <c r="F15" s="17">
        <v>21855.25978</v>
      </c>
      <c r="G15" s="17">
        <v>54062.113380000003</v>
      </c>
      <c r="H15" s="17">
        <v>4341.4935500000001</v>
      </c>
      <c r="I15" s="17">
        <v>17760.230131</v>
      </c>
      <c r="J15" s="17">
        <v>162039.896121</v>
      </c>
    </row>
    <row r="16" spans="1:11" s="4" customFormat="1" ht="13.5" customHeight="1" x14ac:dyDescent="0.2">
      <c r="A16" s="24" t="s">
        <v>31</v>
      </c>
      <c r="B16" s="17">
        <v>77.255030000000005</v>
      </c>
      <c r="C16" s="17">
        <v>0</v>
      </c>
      <c r="D16" s="17">
        <v>18599.906600000002</v>
      </c>
      <c r="E16" s="17">
        <v>24225.85168</v>
      </c>
      <c r="F16" s="17">
        <v>23815.305456000002</v>
      </c>
      <c r="G16" s="17">
        <v>43149.669879999994</v>
      </c>
      <c r="H16" s="17">
        <v>3621.4457900000002</v>
      </c>
      <c r="I16" s="17">
        <v>10992.96732</v>
      </c>
      <c r="J16" s="17">
        <v>124482.40175600001</v>
      </c>
    </row>
    <row r="17" spans="1:12" s="4" customFormat="1" ht="13.5" customHeight="1" x14ac:dyDescent="0.2">
      <c r="A17" s="25" t="s">
        <v>17</v>
      </c>
      <c r="B17" s="23">
        <v>107593.65703</v>
      </c>
      <c r="C17" s="23">
        <v>3805.2280000000001</v>
      </c>
      <c r="D17" s="23">
        <v>92632.794700000013</v>
      </c>
      <c r="E17" s="23">
        <v>123285.55924</v>
      </c>
      <c r="F17" s="23">
        <v>70965.717310000007</v>
      </c>
      <c r="G17" s="23">
        <v>186300.96934000001</v>
      </c>
      <c r="H17" s="23">
        <v>15507.750849999999</v>
      </c>
      <c r="I17" s="23">
        <v>71799.854380999997</v>
      </c>
      <c r="J17" s="23">
        <v>671891.53085099999</v>
      </c>
    </row>
    <row r="18" spans="1:12" s="4" customFormat="1" ht="18.75" customHeight="1" x14ac:dyDescent="0.2">
      <c r="A18" s="26">
        <v>2013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2" s="4" customFormat="1" ht="13.5" customHeight="1" x14ac:dyDescent="0.2">
      <c r="A19" s="37" t="s">
        <v>28</v>
      </c>
      <c r="B19" s="17">
        <v>36506.955560000002</v>
      </c>
      <c r="C19" s="17">
        <v>1358.37</v>
      </c>
      <c r="D19" s="17">
        <v>27510.130739999997</v>
      </c>
      <c r="E19" s="17">
        <v>21888.54682</v>
      </c>
      <c r="F19" s="17">
        <v>17279.272629999999</v>
      </c>
      <c r="G19" s="17">
        <v>44848.881340000007</v>
      </c>
      <c r="H19" s="17">
        <v>5028.9012000000002</v>
      </c>
      <c r="I19" s="12">
        <v>22413.940200000005</v>
      </c>
      <c r="J19" s="17">
        <v>176834.99849</v>
      </c>
    </row>
    <row r="20" spans="1:12" s="4" customFormat="1" ht="13.5" customHeight="1" x14ac:dyDescent="0.2">
      <c r="A20" s="24" t="s">
        <v>29</v>
      </c>
      <c r="B20" s="17">
        <v>45861.843500000003</v>
      </c>
      <c r="C20" s="17">
        <v>2031.5350000000001</v>
      </c>
      <c r="D20" s="17">
        <v>28488.274599999997</v>
      </c>
      <c r="E20" s="17">
        <v>35652.118999999999</v>
      </c>
      <c r="F20" s="17">
        <v>23388.734319999996</v>
      </c>
      <c r="G20" s="17">
        <v>26972.084799999997</v>
      </c>
      <c r="H20" s="17">
        <v>6678.8550700000005</v>
      </c>
      <c r="I20" s="17">
        <v>25784.530649999997</v>
      </c>
      <c r="J20" s="17">
        <v>194857.97693999999</v>
      </c>
    </row>
    <row r="21" spans="1:12" s="4" customFormat="1" ht="13.5" customHeight="1" x14ac:dyDescent="0.2">
      <c r="A21" s="17" t="s">
        <v>30</v>
      </c>
      <c r="B21" s="17">
        <v>24948.415579999997</v>
      </c>
      <c r="C21" s="17">
        <v>2150.645</v>
      </c>
      <c r="D21" s="17">
        <v>21992.921520000004</v>
      </c>
      <c r="E21" s="17">
        <v>17340.973000000002</v>
      </c>
      <c r="F21" s="17">
        <v>27931.767919999991</v>
      </c>
      <c r="G21" s="17">
        <v>42614.203500000003</v>
      </c>
      <c r="H21" s="17">
        <v>5456.2803300000005</v>
      </c>
      <c r="I21" s="17">
        <v>13536.82633</v>
      </c>
      <c r="J21" s="17">
        <v>155972.03318000003</v>
      </c>
    </row>
    <row r="22" spans="1:12" s="4" customFormat="1" ht="13.5" customHeight="1" x14ac:dyDescent="0.2">
      <c r="A22" s="17" t="s">
        <v>31</v>
      </c>
      <c r="B22" s="17">
        <v>38.069499999999998</v>
      </c>
      <c r="C22" s="17">
        <v>0</v>
      </c>
      <c r="D22" s="17">
        <v>19785.228039999998</v>
      </c>
      <c r="E22" s="17">
        <v>12557.282999999999</v>
      </c>
      <c r="F22" s="17">
        <v>42088.671468</v>
      </c>
      <c r="G22" s="17">
        <v>25757.673280000003</v>
      </c>
      <c r="H22" s="17">
        <v>3505.8501000000001</v>
      </c>
      <c r="I22" s="17">
        <v>13264.474539999999</v>
      </c>
      <c r="J22" s="17">
        <v>116997.24992799999</v>
      </c>
    </row>
    <row r="23" spans="1:12" s="4" customFormat="1" ht="13.5" customHeight="1" x14ac:dyDescent="0.2">
      <c r="A23" s="25" t="s">
        <v>17</v>
      </c>
      <c r="B23" s="23">
        <v>107355.28414</v>
      </c>
      <c r="C23" s="23">
        <v>5540.5499999999993</v>
      </c>
      <c r="D23" s="23">
        <v>97776.554900000003</v>
      </c>
      <c r="E23" s="23">
        <v>87438.921819999989</v>
      </c>
      <c r="F23" s="23">
        <v>110688.44633799999</v>
      </c>
      <c r="G23" s="23">
        <v>140192.84292000002</v>
      </c>
      <c r="H23" s="23">
        <v>20669.886700000003</v>
      </c>
      <c r="I23" s="23">
        <v>74999.77171999999</v>
      </c>
      <c r="J23" s="23">
        <v>644662.25853800005</v>
      </c>
      <c r="K23" s="38"/>
      <c r="L23" s="36"/>
    </row>
    <row r="24" spans="1:12" s="4" customFormat="1" ht="18.75" customHeight="1" x14ac:dyDescent="0.2">
      <c r="A24" s="26">
        <v>2014</v>
      </c>
      <c r="C24" s="23"/>
      <c r="D24" s="23"/>
      <c r="E24" s="23"/>
      <c r="F24" s="23"/>
      <c r="G24" s="23"/>
      <c r="H24" s="23"/>
      <c r="I24" s="23"/>
      <c r="J24" s="23"/>
      <c r="K24" s="38"/>
      <c r="L24" s="36"/>
    </row>
    <row r="25" spans="1:12" s="4" customFormat="1" ht="15" customHeight="1" x14ac:dyDescent="0.2">
      <c r="A25" s="37" t="s">
        <v>28</v>
      </c>
      <c r="B25" s="17">
        <v>19618.538399999998</v>
      </c>
      <c r="C25" s="17">
        <v>693.62300000000005</v>
      </c>
      <c r="D25" s="17">
        <v>25909.856239999997</v>
      </c>
      <c r="E25" s="17">
        <v>15478.539000000001</v>
      </c>
      <c r="F25" s="17">
        <v>27227.568759999998</v>
      </c>
      <c r="G25" s="17">
        <v>27046.974100000003</v>
      </c>
      <c r="H25" s="17">
        <v>2450.4756699999998</v>
      </c>
      <c r="I25" s="17">
        <v>23999.478896000011</v>
      </c>
      <c r="J25" s="17">
        <v>142425.05406600001</v>
      </c>
      <c r="K25" s="38"/>
      <c r="L25" s="36"/>
    </row>
    <row r="26" spans="1:12" s="4" customFormat="1" ht="13.5" customHeight="1" x14ac:dyDescent="0.2">
      <c r="A26" s="24" t="s">
        <v>29</v>
      </c>
      <c r="B26" s="17">
        <v>52150.651399999995</v>
      </c>
      <c r="C26" s="17">
        <v>2903.9129999999996</v>
      </c>
      <c r="D26" s="17">
        <v>27857.87442</v>
      </c>
      <c r="E26" s="17">
        <v>34804.630659999995</v>
      </c>
      <c r="F26" s="17">
        <v>22790.313389999999</v>
      </c>
      <c r="G26" s="17">
        <v>24070.020820000002</v>
      </c>
      <c r="H26" s="17">
        <v>3528.7285499999998</v>
      </c>
      <c r="I26" s="17">
        <v>24439.93378000001</v>
      </c>
      <c r="J26" s="17">
        <v>192546.06602000003</v>
      </c>
      <c r="K26" s="38"/>
      <c r="L26" s="36"/>
    </row>
    <row r="27" spans="1:12" s="4" customFormat="1" ht="13.5" customHeight="1" x14ac:dyDescent="0.2">
      <c r="A27" s="17" t="s">
        <v>30</v>
      </c>
      <c r="B27" s="17">
        <v>37104.447</v>
      </c>
      <c r="C27" s="17">
        <v>2690.1640000000002</v>
      </c>
      <c r="D27" s="17">
        <v>24012.86996</v>
      </c>
      <c r="E27" s="17">
        <v>19263.72</v>
      </c>
      <c r="F27" s="17">
        <v>34644.284450000006</v>
      </c>
      <c r="G27" s="17">
        <v>25984.035880000003</v>
      </c>
      <c r="H27" s="17">
        <v>4309.3235100000002</v>
      </c>
      <c r="I27" s="17">
        <v>12729.165079999999</v>
      </c>
      <c r="J27" s="17">
        <v>160738.00988</v>
      </c>
      <c r="K27" s="38"/>
      <c r="L27" s="36"/>
    </row>
    <row r="28" spans="1:12" s="4" customFormat="1" ht="13.5" customHeight="1" x14ac:dyDescent="0.2">
      <c r="A28" s="17" t="s">
        <v>31</v>
      </c>
      <c r="B28" s="17">
        <v>9960.265800000001</v>
      </c>
      <c r="C28" s="17">
        <v>0</v>
      </c>
      <c r="D28" s="17">
        <v>22986.285340000002</v>
      </c>
      <c r="E28" s="17">
        <v>9482.8330000000005</v>
      </c>
      <c r="F28" s="17">
        <v>28221.104661600002</v>
      </c>
      <c r="G28" s="17">
        <v>25157.606182650001</v>
      </c>
      <c r="H28" s="17">
        <v>2973.6404199999997</v>
      </c>
      <c r="I28" s="17">
        <v>17608.548229999993</v>
      </c>
      <c r="J28" s="17">
        <v>116390.28363424999</v>
      </c>
      <c r="K28" s="38"/>
      <c r="L28" s="36"/>
    </row>
    <row r="29" spans="1:12" s="4" customFormat="1" ht="13.5" customHeight="1" x14ac:dyDescent="0.2">
      <c r="A29" s="25" t="s">
        <v>17</v>
      </c>
      <c r="B29" s="23">
        <v>118833.9026</v>
      </c>
      <c r="C29" s="23">
        <v>6287.7</v>
      </c>
      <c r="D29" s="23">
        <v>100766.88596</v>
      </c>
      <c r="E29" s="23">
        <v>79029.722659999999</v>
      </c>
      <c r="F29" s="23">
        <v>112883.27126159999</v>
      </c>
      <c r="G29" s="23">
        <v>102258.63698265</v>
      </c>
      <c r="H29" s="23">
        <v>13262.16815</v>
      </c>
      <c r="I29" s="23">
        <v>78777.125986000014</v>
      </c>
      <c r="J29" s="23">
        <v>612099.41360025015</v>
      </c>
      <c r="K29" s="38"/>
      <c r="L29" s="36"/>
    </row>
    <row r="30" spans="1:12" s="4" customFormat="1" ht="18.75" customHeight="1" x14ac:dyDescent="0.2">
      <c r="A30" s="49" t="s">
        <v>51</v>
      </c>
      <c r="C30" s="23"/>
      <c r="D30" s="23"/>
      <c r="E30" s="23"/>
      <c r="F30" s="23"/>
      <c r="G30" s="23"/>
      <c r="H30" s="23"/>
      <c r="I30" s="23"/>
      <c r="J30" s="23"/>
      <c r="K30" s="38"/>
      <c r="L30" s="36"/>
    </row>
    <row r="31" spans="1:12" s="4" customFormat="1" ht="13.5" customHeight="1" x14ac:dyDescent="0.2">
      <c r="A31" s="37" t="s">
        <v>28</v>
      </c>
      <c r="B31" s="17">
        <v>27312.087</v>
      </c>
      <c r="C31" s="17">
        <v>960.08900000000006</v>
      </c>
      <c r="D31" s="17">
        <v>31233.48228</v>
      </c>
      <c r="E31" s="17">
        <v>22334.04</v>
      </c>
      <c r="F31" s="17">
        <v>30786.231873400007</v>
      </c>
      <c r="G31" s="17">
        <v>6340.8245159999997</v>
      </c>
      <c r="H31" s="17">
        <v>3575.3810699999999</v>
      </c>
      <c r="I31" s="17">
        <v>17815.982309999999</v>
      </c>
      <c r="J31" s="17">
        <v>140358.11804940001</v>
      </c>
      <c r="K31" s="38"/>
      <c r="L31" s="36"/>
    </row>
    <row r="32" spans="1:12" s="4" customFormat="1" ht="13.5" customHeight="1" x14ac:dyDescent="0.2">
      <c r="A32" s="37" t="s">
        <v>29</v>
      </c>
      <c r="B32" s="17">
        <v>44559.898799999995</v>
      </c>
      <c r="C32" s="17">
        <v>2610.4059999999999</v>
      </c>
      <c r="D32" s="17">
        <v>28464.232199999995</v>
      </c>
      <c r="E32" s="17">
        <v>22552.930361050243</v>
      </c>
      <c r="F32" s="17">
        <v>15899.425545</v>
      </c>
      <c r="G32" s="17">
        <v>11955.871342875</v>
      </c>
      <c r="H32" s="17">
        <v>3372.0898500000003</v>
      </c>
      <c r="I32" s="17">
        <v>21832.884810000014</v>
      </c>
      <c r="J32" s="17">
        <v>151247.73890892527</v>
      </c>
      <c r="K32" s="38"/>
      <c r="L32" s="36"/>
    </row>
    <row r="33" spans="1:12" s="4" customFormat="1" ht="13.5" customHeight="1" x14ac:dyDescent="0.2">
      <c r="A33" s="37" t="s">
        <v>30</v>
      </c>
      <c r="B33" s="17">
        <v>41150.458299999998</v>
      </c>
      <c r="C33" s="17">
        <v>3554.7350000000001</v>
      </c>
      <c r="D33" s="17">
        <v>21351.508460000001</v>
      </c>
      <c r="E33" s="17">
        <v>13721.773544431991</v>
      </c>
      <c r="F33" s="17">
        <v>17517.366309999998</v>
      </c>
      <c r="G33" s="17">
        <v>9493.1302599999999</v>
      </c>
      <c r="H33" s="17">
        <v>3677.2773099999999</v>
      </c>
      <c r="I33" s="17">
        <v>18026</v>
      </c>
      <c r="J33" s="17">
        <v>128492.24918443199</v>
      </c>
      <c r="K33" s="38"/>
      <c r="L33" s="36"/>
    </row>
    <row r="34" spans="1:12" s="4" customFormat="1" ht="13.5" customHeight="1" x14ac:dyDescent="0.2">
      <c r="A34" s="37" t="s">
        <v>31</v>
      </c>
      <c r="B34" s="17">
        <v>21435.278999999999</v>
      </c>
      <c r="C34" s="17">
        <v>0</v>
      </c>
      <c r="D34" s="17">
        <v>17331.093340000003</v>
      </c>
      <c r="E34" s="17">
        <v>10714.722</v>
      </c>
      <c r="F34" s="17">
        <v>15827.384480000002</v>
      </c>
      <c r="G34" s="17">
        <v>8591.9409699999997</v>
      </c>
      <c r="H34" s="17">
        <v>2412.7084799999998</v>
      </c>
      <c r="I34" s="17">
        <v>12832.873360000023</v>
      </c>
      <c r="J34" s="17">
        <v>89146.001630000028</v>
      </c>
      <c r="K34" s="38"/>
      <c r="L34" s="36"/>
    </row>
    <row r="35" spans="1:12" s="4" customFormat="1" ht="13.5" customHeight="1" x14ac:dyDescent="0.2">
      <c r="A35" s="25" t="s">
        <v>17</v>
      </c>
      <c r="B35" s="23">
        <v>134457.7231</v>
      </c>
      <c r="C35" s="23">
        <v>7125.23</v>
      </c>
      <c r="D35" s="23">
        <v>98380.316279999999</v>
      </c>
      <c r="E35" s="23">
        <v>69326.464905482237</v>
      </c>
      <c r="F35" s="23">
        <v>80038.188278400019</v>
      </c>
      <c r="G35" s="23">
        <v>36381.767088875</v>
      </c>
      <c r="H35" s="23">
        <v>13037.456709999999</v>
      </c>
      <c r="I35" s="23">
        <v>70626.250370000023</v>
      </c>
      <c r="J35" s="23">
        <v>509373.39673275728</v>
      </c>
      <c r="K35" s="38"/>
      <c r="L35" s="36"/>
    </row>
    <row r="36" spans="1:12" s="4" customFormat="1" ht="13.5" customHeight="1" x14ac:dyDescent="0.2">
      <c r="A36" s="49"/>
      <c r="B36" s="23"/>
      <c r="C36" s="23"/>
      <c r="D36" s="23"/>
      <c r="E36" s="23"/>
      <c r="F36" s="23"/>
      <c r="G36" s="23"/>
      <c r="H36" s="23"/>
      <c r="I36" s="23"/>
      <c r="J36" s="23"/>
      <c r="K36" s="38"/>
      <c r="L36" s="36"/>
    </row>
    <row r="37" spans="1:12" s="4" customFormat="1" ht="13.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38"/>
      <c r="L37" s="36"/>
    </row>
    <row r="38" spans="1:12" s="4" customFormat="1" ht="13.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38"/>
      <c r="L38" s="36"/>
    </row>
    <row r="39" spans="1:12" s="4" customFormat="1" ht="13.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38"/>
      <c r="L39" s="36"/>
    </row>
    <row r="40" spans="1:12" s="4" customFormat="1" ht="13.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38"/>
      <c r="L40" s="36"/>
    </row>
    <row r="41" spans="1:12" s="4" customFormat="1" ht="13.5" customHeight="1" x14ac:dyDescent="0.2">
      <c r="A41" s="25"/>
      <c r="B41" s="23"/>
      <c r="C41" s="23"/>
      <c r="D41" s="23"/>
      <c r="E41" s="23"/>
      <c r="F41" s="23"/>
      <c r="G41" s="23"/>
      <c r="H41" s="23"/>
      <c r="I41" s="23"/>
      <c r="J41" s="23"/>
      <c r="K41" s="38"/>
      <c r="L41" s="36"/>
    </row>
    <row r="42" spans="1:12" s="4" customFormat="1" ht="13.5" customHeight="1" x14ac:dyDescent="0.2">
      <c r="A42" s="49"/>
      <c r="B42" s="23"/>
      <c r="C42" s="23"/>
      <c r="D42" s="23"/>
      <c r="E42" s="23"/>
      <c r="F42" s="23"/>
      <c r="G42" s="23"/>
      <c r="H42" s="23"/>
      <c r="I42" s="23"/>
      <c r="J42" s="23"/>
      <c r="K42" s="38"/>
      <c r="L42" s="36"/>
    </row>
    <row r="43" spans="1:12" s="17" customFormat="1" ht="13.5" customHeight="1" x14ac:dyDescent="0.2"/>
    <row r="44" spans="1:12" s="17" customFormat="1" ht="16.5" customHeight="1" x14ac:dyDescent="0.2">
      <c r="A44" s="1"/>
      <c r="K44" s="40"/>
    </row>
    <row r="45" spans="1:12" s="17" customFormat="1" ht="16.5" customHeight="1" x14ac:dyDescent="0.2">
      <c r="A45" s="1"/>
    </row>
    <row r="46" spans="1:12" s="17" customFormat="1" ht="16.5" customHeight="1" x14ac:dyDescent="0.2">
      <c r="A46" s="1"/>
    </row>
    <row r="47" spans="1:12" ht="12.75" x14ac:dyDescent="0.2">
      <c r="B47" s="17"/>
      <c r="C47" s="17"/>
      <c r="D47" s="17"/>
      <c r="E47" s="17"/>
      <c r="F47" s="17"/>
      <c r="G47" s="17"/>
      <c r="H47" s="17"/>
      <c r="I47" s="17"/>
      <c r="J47" s="8"/>
      <c r="K47" s="17"/>
    </row>
    <row r="48" spans="1:12" ht="12.75" x14ac:dyDescent="0.2">
      <c r="B48" s="17"/>
      <c r="C48" s="17"/>
      <c r="D48" s="17"/>
      <c r="E48" s="17"/>
      <c r="F48" s="17"/>
      <c r="G48" s="17"/>
      <c r="H48" s="17"/>
      <c r="I48" s="17"/>
      <c r="J48" s="8"/>
      <c r="K48" s="17"/>
    </row>
    <row r="49" spans="2:11" ht="12.75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2:11" ht="12.75" x14ac:dyDescent="0.2">
      <c r="B50" s="17"/>
      <c r="C50" s="17"/>
      <c r="D50" s="17"/>
      <c r="E50" s="17"/>
      <c r="F50" s="17"/>
      <c r="G50" s="17"/>
      <c r="H50" s="17"/>
      <c r="I50" s="17"/>
      <c r="J50" s="8"/>
      <c r="K50" s="17"/>
    </row>
    <row r="51" spans="2:11" ht="12.75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2:11" ht="12.75" x14ac:dyDescent="0.2">
      <c r="B52" s="17"/>
      <c r="C52" s="17"/>
      <c r="D52" s="17"/>
      <c r="E52" s="17"/>
      <c r="F52" s="17"/>
      <c r="G52" s="17"/>
      <c r="H52" s="17"/>
      <c r="I52" s="17"/>
      <c r="J52" s="8"/>
      <c r="K52" s="17"/>
    </row>
    <row r="53" spans="2:11" ht="11.25" customHeight="1" x14ac:dyDescent="0.15"/>
  </sheetData>
  <mergeCells count="1">
    <mergeCell ref="A1:J1"/>
  </mergeCells>
  <printOptions horizontalCentered="1"/>
  <pageMargins left="0.5" right="0.5" top="0.5" bottom="0.5" header="0.5" footer="0.25"/>
  <pageSetup scale="80" firstPageNumber="4" orientation="portrait" useFirstPageNumber="1" r:id="rId1"/>
  <headerFooter>
    <oddHeader xml:space="preserve">&amp;C
</oddHeader>
    <oddFooter xml:space="preserve">&amp;C&amp;"Arial,Regular"&amp;P&amp;R&amp;"Arial,Bold"&amp;12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4"/>
  <sheetViews>
    <sheetView showGridLines="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Q30" sqref="Q30"/>
    </sheetView>
  </sheetViews>
  <sheetFormatPr defaultRowHeight="12" x14ac:dyDescent="0.15"/>
  <sheetData>
    <row r="1" spans="1:11" ht="15.75" x14ac:dyDescent="0.1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19"/>
    </row>
    <row r="2" spans="1:11" ht="15.75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19"/>
    </row>
    <row r="3" spans="1:11" ht="12.75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</row>
    <row r="4" spans="1:11" s="4" customFormat="1" ht="12.75" x14ac:dyDescent="0.15">
      <c r="A4" s="42"/>
      <c r="B4" s="42"/>
      <c r="C4" s="42"/>
      <c r="D4" s="42"/>
      <c r="E4" s="42" t="s">
        <v>1</v>
      </c>
      <c r="F4" s="42" t="s">
        <v>2</v>
      </c>
      <c r="G4" s="42" t="s">
        <v>27</v>
      </c>
      <c r="H4" s="42"/>
      <c r="I4" s="42"/>
      <c r="J4" s="44"/>
    </row>
    <row r="5" spans="1:11" s="4" customFormat="1" ht="12.75" x14ac:dyDescent="0.15">
      <c r="A5" s="43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34</v>
      </c>
      <c r="H5" s="43" t="s">
        <v>36</v>
      </c>
      <c r="I5" s="43" t="s">
        <v>35</v>
      </c>
      <c r="J5" s="45" t="s">
        <v>17</v>
      </c>
    </row>
    <row r="6" spans="1:11" ht="12.75" x14ac:dyDescent="0.2">
      <c r="A6" s="49" t="s">
        <v>52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12.75" x14ac:dyDescent="0.2">
      <c r="A7" s="17" t="s">
        <v>28</v>
      </c>
      <c r="B7" s="17">
        <v>31359.131000000001</v>
      </c>
      <c r="C7" s="17">
        <v>1578.0160000000001</v>
      </c>
      <c r="D7" s="17">
        <v>17633.913420000001</v>
      </c>
      <c r="E7" s="17">
        <v>16539.526999999998</v>
      </c>
      <c r="F7" s="17">
        <v>9240.8664349999981</v>
      </c>
      <c r="G7" s="17">
        <v>3357.1657170000003</v>
      </c>
      <c r="H7" s="17">
        <v>1868.3868799999998</v>
      </c>
      <c r="I7" s="17">
        <v>18048.241619999993</v>
      </c>
      <c r="J7" s="17">
        <v>99625.248072000017</v>
      </c>
    </row>
    <row r="8" spans="1:11" ht="12.75" x14ac:dyDescent="0.2">
      <c r="A8" s="24" t="s">
        <v>29</v>
      </c>
      <c r="B8" s="17">
        <v>29923.971000000001</v>
      </c>
      <c r="C8" s="17">
        <v>3831.0129999999999</v>
      </c>
      <c r="D8" s="17">
        <v>22325.026539999999</v>
      </c>
      <c r="E8" s="17">
        <v>26705.154999999999</v>
      </c>
      <c r="F8" s="17">
        <v>5527.1579699999984</v>
      </c>
      <c r="G8" s="17">
        <v>9165.7627010000015</v>
      </c>
      <c r="H8" s="17">
        <v>1569.77656</v>
      </c>
      <c r="I8" s="17">
        <v>17575.365409999988</v>
      </c>
      <c r="J8" s="17">
        <v>116623.22818099998</v>
      </c>
    </row>
    <row r="9" spans="1:11" ht="12.75" x14ac:dyDescent="0.2">
      <c r="A9" s="17" t="s">
        <v>30</v>
      </c>
      <c r="B9" s="17">
        <v>41125.81900000001</v>
      </c>
      <c r="C9" s="17">
        <v>1561.317</v>
      </c>
      <c r="D9" s="17">
        <v>17720.827779999996</v>
      </c>
      <c r="E9" s="17">
        <v>13417.088566416387</v>
      </c>
      <c r="F9" s="17">
        <v>11902.836128000001</v>
      </c>
      <c r="G9" s="17">
        <v>4336.6691300000002</v>
      </c>
      <c r="H9" s="17">
        <v>322.8</v>
      </c>
      <c r="I9" s="17">
        <v>17023.506819999999</v>
      </c>
      <c r="J9" s="17">
        <v>107410.86442441639</v>
      </c>
    </row>
    <row r="10" spans="1:11" ht="12.75" x14ac:dyDescent="0.2">
      <c r="A10" s="17" t="s">
        <v>31</v>
      </c>
      <c r="B10" s="17">
        <v>567.40706999999998</v>
      </c>
      <c r="C10" s="17">
        <v>0</v>
      </c>
      <c r="D10" s="17">
        <v>11856.54658</v>
      </c>
      <c r="E10" s="17">
        <v>10454.347243785562</v>
      </c>
      <c r="F10" s="17">
        <v>16362.821620000001</v>
      </c>
      <c r="G10" s="17">
        <v>5623.4706759999999</v>
      </c>
      <c r="H10" s="17">
        <v>161.4</v>
      </c>
      <c r="I10" s="17">
        <v>12426.89310999999</v>
      </c>
      <c r="J10" s="17">
        <v>57452.886299785554</v>
      </c>
    </row>
    <row r="11" spans="1:11" ht="12.75" x14ac:dyDescent="0.2">
      <c r="A11" s="25" t="s">
        <v>17</v>
      </c>
      <c r="B11" s="23">
        <f t="shared" ref="B11:C11" si="0">SUM(B7:B10)</f>
        <v>102976.32807</v>
      </c>
      <c r="C11" s="23">
        <f t="shared" si="0"/>
        <v>6970.3460000000005</v>
      </c>
      <c r="D11" s="23">
        <f>SUM(D7:D10)</f>
        <v>69536.31431999999</v>
      </c>
      <c r="E11" s="23">
        <f t="shared" ref="E11:J11" si="1">SUM(E7:E10)</f>
        <v>67116.117810201948</v>
      </c>
      <c r="F11" s="23">
        <f t="shared" si="1"/>
        <v>43033.682153000002</v>
      </c>
      <c r="G11" s="23">
        <f t="shared" si="1"/>
        <v>22483.068224000002</v>
      </c>
      <c r="H11" s="23">
        <f t="shared" si="1"/>
        <v>3922.3634400000001</v>
      </c>
      <c r="I11" s="23">
        <f t="shared" si="1"/>
        <v>65074.00695999997</v>
      </c>
      <c r="J11" s="23">
        <f t="shared" si="1"/>
        <v>381112.22697720199</v>
      </c>
    </row>
    <row r="12" spans="1:11" ht="12.75" x14ac:dyDescent="0.2">
      <c r="A12" s="49" t="s">
        <v>53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1" ht="12.75" x14ac:dyDescent="0.2">
      <c r="A13" s="17" t="s">
        <v>28</v>
      </c>
      <c r="B13" s="17">
        <v>43906.418999999994</v>
      </c>
      <c r="C13" s="17">
        <v>2114.3689999999997</v>
      </c>
      <c r="D13" s="17">
        <v>26891.025799999996</v>
      </c>
      <c r="E13" s="17">
        <v>11832.583000000001</v>
      </c>
      <c r="F13" s="17">
        <v>11698.330389999999</v>
      </c>
      <c r="G13" s="17">
        <v>11385.185697999999</v>
      </c>
      <c r="H13" s="17">
        <v>468.06</v>
      </c>
      <c r="I13" s="17">
        <v>21346.939495999992</v>
      </c>
      <c r="J13" s="17">
        <v>129642.91238399998</v>
      </c>
    </row>
    <row r="14" spans="1:11" ht="12.75" x14ac:dyDescent="0.2">
      <c r="A14" s="17" t="s">
        <v>29</v>
      </c>
      <c r="B14" s="17">
        <v>63650.393000000004</v>
      </c>
      <c r="C14" s="17">
        <v>3697.7370000000001</v>
      </c>
      <c r="D14" s="17">
        <v>20412.509859999998</v>
      </c>
      <c r="E14" s="17">
        <v>23797.62863777285</v>
      </c>
      <c r="F14" s="17">
        <v>6453.9173599999995</v>
      </c>
      <c r="G14" s="17">
        <v>0</v>
      </c>
      <c r="H14" s="17">
        <v>405.51749999999998</v>
      </c>
      <c r="I14" s="17">
        <v>24381.927642999992</v>
      </c>
      <c r="J14" s="17">
        <v>142799.63100077285</v>
      </c>
    </row>
    <row r="15" spans="1:11" ht="12.75" x14ac:dyDescent="0.2">
      <c r="A15" s="1" t="s">
        <v>30</v>
      </c>
      <c r="B15" s="17">
        <v>30512.919000000002</v>
      </c>
      <c r="C15" s="17">
        <v>3235.9079999999999</v>
      </c>
      <c r="D15" s="17">
        <v>18583.1286</v>
      </c>
      <c r="E15" s="17">
        <v>12681.280814159825</v>
      </c>
      <c r="F15" s="17">
        <v>10114.29371</v>
      </c>
      <c r="G15" s="17">
        <v>5095.477288</v>
      </c>
      <c r="H15" s="17">
        <v>435.78</v>
      </c>
      <c r="I15" s="17">
        <v>17978.098577000019</v>
      </c>
      <c r="J15" s="17">
        <v>98636.88598915984</v>
      </c>
    </row>
    <row r="16" spans="1:11" ht="12.75" x14ac:dyDescent="0.2">
      <c r="A16" s="17" t="s">
        <v>31</v>
      </c>
      <c r="B16" s="17">
        <v>9804.7588600000017</v>
      </c>
      <c r="C16" s="17">
        <v>0</v>
      </c>
      <c r="D16" s="17">
        <v>17551.880359999999</v>
      </c>
      <c r="E16" s="17">
        <v>9023.3025072182118</v>
      </c>
      <c r="F16" s="17">
        <v>12530.277310000003</v>
      </c>
      <c r="G16" s="17">
        <v>6265.4673000000003</v>
      </c>
      <c r="H16" s="17">
        <v>143.24250000000001</v>
      </c>
      <c r="I16" s="17">
        <v>12551.635250000007</v>
      </c>
      <c r="J16" s="17">
        <v>67870.564087218227</v>
      </c>
    </row>
    <row r="17" spans="1:12" ht="12.75" x14ac:dyDescent="0.2">
      <c r="A17" s="25" t="s">
        <v>17</v>
      </c>
      <c r="B17" s="23">
        <f t="shared" ref="B17:C17" si="2">SUM(B13:B16)</f>
        <v>147874.48986</v>
      </c>
      <c r="C17" s="23">
        <f t="shared" si="2"/>
        <v>9048.0139999999992</v>
      </c>
      <c r="D17" s="23">
        <f>SUM(D13:D16)</f>
        <v>83438.544619999986</v>
      </c>
      <c r="E17" s="23">
        <f t="shared" ref="E17:J17" si="3">SUM(E13:E16)</f>
        <v>57334.794959150888</v>
      </c>
      <c r="F17" s="23">
        <f t="shared" si="3"/>
        <v>40796.818770000005</v>
      </c>
      <c r="G17" s="23">
        <f t="shared" si="3"/>
        <v>22746.130286</v>
      </c>
      <c r="H17" s="23">
        <f t="shared" si="3"/>
        <v>1452.6000000000001</v>
      </c>
      <c r="I17" s="23">
        <f t="shared" si="3"/>
        <v>76258.600965999998</v>
      </c>
      <c r="J17" s="23">
        <f t="shared" si="3"/>
        <v>438949.99346115091</v>
      </c>
    </row>
    <row r="18" spans="1:12" ht="12.75" x14ac:dyDescent="0.2">
      <c r="A18" s="49" t="s">
        <v>56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2" ht="12.75" x14ac:dyDescent="0.2">
      <c r="A19" s="17" t="s">
        <v>28</v>
      </c>
      <c r="B19" s="17">
        <v>35817.186999999998</v>
      </c>
      <c r="C19" s="17">
        <v>1243.4469999999999</v>
      </c>
      <c r="D19" s="17">
        <v>18185.099839999999</v>
      </c>
      <c r="E19" s="17">
        <v>14820.644055933424</v>
      </c>
      <c r="F19" s="17">
        <v>7608.059408149873</v>
      </c>
      <c r="G19" s="17">
        <v>7683.7847499999998</v>
      </c>
      <c r="H19" s="17">
        <v>161.4</v>
      </c>
      <c r="I19" s="17">
        <v>19106.479740000017</v>
      </c>
      <c r="J19" s="17">
        <v>104626.10179408331</v>
      </c>
    </row>
    <row r="20" spans="1:12" ht="12.75" x14ac:dyDescent="0.2">
      <c r="A20" s="17" t="s">
        <v>29</v>
      </c>
      <c r="B20" s="17">
        <v>37323.491323675</v>
      </c>
      <c r="C20" s="17">
        <v>3523.2032600000002</v>
      </c>
      <c r="D20" s="17">
        <v>20229.133919999997</v>
      </c>
      <c r="E20" s="17">
        <v>19849.076449761695</v>
      </c>
      <c r="F20" s="17">
        <v>7132.5489050000006</v>
      </c>
      <c r="G20" s="17">
        <v>8238.5645659999991</v>
      </c>
      <c r="H20" s="17">
        <v>443.48685000000006</v>
      </c>
      <c r="I20" s="17">
        <v>20635.693960000008</v>
      </c>
      <c r="J20" s="17">
        <v>117375.1992344367</v>
      </c>
    </row>
    <row r="21" spans="1:12" ht="12.75" x14ac:dyDescent="0.2">
      <c r="A21" s="17" t="s">
        <v>30</v>
      </c>
      <c r="B21" s="17">
        <v>33442.3174975</v>
      </c>
      <c r="C21" s="17">
        <v>1842.9639999999999</v>
      </c>
      <c r="D21" s="17">
        <v>17300.481159999999</v>
      </c>
      <c r="E21" s="17">
        <v>10084.516</v>
      </c>
      <c r="F21" s="17">
        <v>11510.339888125001</v>
      </c>
      <c r="G21" s="17">
        <v>0</v>
      </c>
      <c r="H21" s="17">
        <v>258.24</v>
      </c>
      <c r="I21" s="17">
        <v>13658.262489999996</v>
      </c>
      <c r="J21" s="17">
        <v>88097.121035625009</v>
      </c>
    </row>
    <row r="22" spans="1:12" ht="12.75" x14ac:dyDescent="0.2">
      <c r="A22" s="17" t="s">
        <v>31</v>
      </c>
      <c r="B22" s="17">
        <v>5510.4074812499985</v>
      </c>
      <c r="C22" s="17">
        <v>0</v>
      </c>
      <c r="D22" s="17">
        <v>18638.86852</v>
      </c>
      <c r="E22" s="17">
        <v>10218.57</v>
      </c>
      <c r="F22" s="17">
        <v>15598.153621199999</v>
      </c>
      <c r="G22" s="17">
        <v>8726.2060979999987</v>
      </c>
      <c r="H22" s="17">
        <v>161.4</v>
      </c>
      <c r="I22" s="17">
        <v>16311.850799999993</v>
      </c>
      <c r="J22" s="17">
        <v>75165.456520449996</v>
      </c>
    </row>
    <row r="23" spans="1:12" ht="12.75" x14ac:dyDescent="0.2">
      <c r="A23" s="25" t="s">
        <v>17</v>
      </c>
      <c r="B23" s="23">
        <f t="shared" ref="B23:C23" si="4">SUM(B19:B22)</f>
        <v>112093.40330242501</v>
      </c>
      <c r="C23" s="23">
        <f t="shared" si="4"/>
        <v>6609.6142600000003</v>
      </c>
      <c r="D23" s="23">
        <f>SUM(D19:D22)</f>
        <v>74353.583440000002</v>
      </c>
      <c r="E23" s="23">
        <f t="shared" ref="E23:J23" si="5">SUM(E19:E22)</f>
        <v>54972.806505695124</v>
      </c>
      <c r="F23" s="23">
        <f t="shared" si="5"/>
        <v>41849.101822474877</v>
      </c>
      <c r="G23" s="23">
        <f t="shared" si="5"/>
        <v>24648.555413999999</v>
      </c>
      <c r="H23" s="23">
        <f t="shared" si="5"/>
        <v>1024.5268500000002</v>
      </c>
      <c r="I23" s="23">
        <f t="shared" si="5"/>
        <v>69712.286990000022</v>
      </c>
      <c r="J23" s="23">
        <f t="shared" si="5"/>
        <v>385263.87858459505</v>
      </c>
    </row>
    <row r="24" spans="1:12" ht="12.75" x14ac:dyDescent="0.2">
      <c r="A24" s="27">
        <v>2019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2" ht="12.75" x14ac:dyDescent="0.2">
      <c r="A25" s="37" t="s">
        <v>28</v>
      </c>
      <c r="B25" s="17">
        <v>24241.813020499998</v>
      </c>
      <c r="C25" s="17">
        <v>427.99799999999999</v>
      </c>
      <c r="D25" s="17">
        <v>22644.028759999997</v>
      </c>
      <c r="E25" s="17">
        <v>11578.918829912796</v>
      </c>
      <c r="F25" s="17">
        <v>10310.562746</v>
      </c>
      <c r="G25" s="17">
        <v>6026.1490690000001</v>
      </c>
      <c r="H25" s="17">
        <v>129.12</v>
      </c>
      <c r="I25" s="17">
        <v>17504.022148999982</v>
      </c>
      <c r="J25" s="17">
        <v>92862.612574412778</v>
      </c>
      <c r="L25" s="53"/>
    </row>
    <row r="26" spans="1:12" ht="12.75" x14ac:dyDescent="0.2">
      <c r="A26" s="37" t="s">
        <v>29</v>
      </c>
      <c r="B26" s="17">
        <v>39905.829329499997</v>
      </c>
      <c r="C26" s="17">
        <v>6188.179513</v>
      </c>
      <c r="D26" s="17">
        <v>20229.133919999997</v>
      </c>
      <c r="E26" s="17">
        <v>12821.466160071455</v>
      </c>
      <c r="F26" s="17">
        <v>5282.4217600000002</v>
      </c>
      <c r="G26" s="17">
        <v>6915.6409730000005</v>
      </c>
      <c r="H26" s="17">
        <v>138.0898</v>
      </c>
      <c r="I26" s="17">
        <v>21793.537308999992</v>
      </c>
      <c r="J26" s="17">
        <v>113274.29876457145</v>
      </c>
      <c r="L26" s="53"/>
    </row>
    <row r="27" spans="1:12" ht="12.75" x14ac:dyDescent="0.2">
      <c r="A27" s="37" t="s">
        <v>30</v>
      </c>
      <c r="B27" s="17">
        <v>65432.935945824996</v>
      </c>
      <c r="C27" s="17">
        <v>2479.4950605250001</v>
      </c>
      <c r="D27" s="17">
        <v>16339.650180000001</v>
      </c>
      <c r="E27" s="17">
        <v>9511.2109999999993</v>
      </c>
      <c r="F27" s="17">
        <v>12829.703776</v>
      </c>
      <c r="G27" s="17">
        <v>0</v>
      </c>
      <c r="H27" s="17">
        <v>0</v>
      </c>
      <c r="I27" s="17">
        <v>17306.797450000024</v>
      </c>
      <c r="J27" s="17">
        <v>123899.79341235002</v>
      </c>
      <c r="L27" s="53"/>
    </row>
    <row r="28" spans="1:12" ht="12.75" x14ac:dyDescent="0.2">
      <c r="A28" s="37" t="s">
        <v>31</v>
      </c>
      <c r="B28" s="17">
        <v>6735.6109374999996</v>
      </c>
      <c r="C28" s="17">
        <v>1815</v>
      </c>
      <c r="D28" s="17">
        <v>18638.86852</v>
      </c>
      <c r="E28" s="17">
        <v>9391.2756198593252</v>
      </c>
      <c r="F28" s="17">
        <v>20348.879430000001</v>
      </c>
      <c r="G28" s="17">
        <v>7383.3077620000004</v>
      </c>
      <c r="H28" s="17">
        <v>0</v>
      </c>
      <c r="I28" s="17">
        <v>13195.510489999999</v>
      </c>
      <c r="J28" s="17">
        <v>77508.452759359323</v>
      </c>
    </row>
    <row r="29" spans="1:12" ht="12.75" x14ac:dyDescent="0.2">
      <c r="A29" s="27" t="s">
        <v>17</v>
      </c>
      <c r="B29" s="23">
        <f t="shared" ref="B29:C29" si="6">SUM(B25:B28)</f>
        <v>136316.18923332499</v>
      </c>
      <c r="C29" s="23">
        <f t="shared" si="6"/>
        <v>10910.672573525</v>
      </c>
      <c r="D29" s="23">
        <f>SUM(D25:D28)</f>
        <v>77851.681379999995</v>
      </c>
      <c r="E29" s="23">
        <f t="shared" ref="E29:J29" si="7">SUM(E25:E28)</f>
        <v>43302.871609843583</v>
      </c>
      <c r="F29" s="23">
        <f t="shared" si="7"/>
        <v>48771.567712000004</v>
      </c>
      <c r="G29" s="23">
        <f t="shared" si="7"/>
        <v>20325.097804000001</v>
      </c>
      <c r="H29" s="23">
        <f t="shared" si="7"/>
        <v>267.20979999999997</v>
      </c>
      <c r="I29" s="23">
        <f t="shared" si="7"/>
        <v>69799.867398000002</v>
      </c>
      <c r="J29" s="23">
        <f t="shared" si="7"/>
        <v>407545.15751069353</v>
      </c>
    </row>
    <row r="30" spans="1:12" ht="12.75" x14ac:dyDescent="0.2">
      <c r="A30" s="27">
        <v>2020</v>
      </c>
      <c r="B30" s="23"/>
      <c r="C30" s="23"/>
      <c r="D30" s="23"/>
      <c r="E30" s="23"/>
      <c r="F30" s="23"/>
      <c r="G30" s="23"/>
      <c r="H30" s="23"/>
      <c r="I30" s="23"/>
      <c r="J30" s="23"/>
    </row>
    <row r="31" spans="1:12" ht="12.75" x14ac:dyDescent="0.2">
      <c r="A31" s="17" t="s">
        <v>28</v>
      </c>
      <c r="B31" s="17">
        <v>4072.4653186999999</v>
      </c>
      <c r="C31" s="17">
        <v>0</v>
      </c>
      <c r="D31" s="17">
        <v>24481.996520000004</v>
      </c>
      <c r="E31" s="17">
        <v>7762.7942316662056</v>
      </c>
      <c r="F31" s="17">
        <v>10937.599265000001</v>
      </c>
      <c r="G31" s="17">
        <v>0</v>
      </c>
      <c r="H31" s="17">
        <v>0</v>
      </c>
      <c r="I31" s="17">
        <v>17440.842030000003</v>
      </c>
      <c r="J31" s="17">
        <v>64695.697365366213</v>
      </c>
    </row>
    <row r="32" spans="1:12" ht="12.75" x14ac:dyDescent="0.2">
      <c r="A32" s="17" t="s">
        <v>29</v>
      </c>
      <c r="B32" s="17">
        <v>59185.260145174994</v>
      </c>
      <c r="C32" s="17">
        <v>7005.5121964499995</v>
      </c>
      <c r="D32" s="17">
        <v>24175.549299999999</v>
      </c>
      <c r="E32" s="17">
        <v>10984.602000000001</v>
      </c>
      <c r="F32" s="17">
        <v>4182.7953120000011</v>
      </c>
      <c r="G32" s="17">
        <v>0</v>
      </c>
      <c r="H32" s="17">
        <v>88.124399999999994</v>
      </c>
      <c r="I32" s="17">
        <v>20560.08961000001</v>
      </c>
      <c r="J32" s="17">
        <v>126181.932963625</v>
      </c>
    </row>
    <row r="33" spans="1:10" ht="12.75" x14ac:dyDescent="0.2">
      <c r="A33" s="37" t="s">
        <v>30</v>
      </c>
      <c r="B33" s="17">
        <v>38192.452980000002</v>
      </c>
      <c r="C33" s="17">
        <v>5365.2963099999997</v>
      </c>
      <c r="D33" s="17">
        <v>19238.717100000002</v>
      </c>
      <c r="E33" s="17">
        <v>10547.379000000001</v>
      </c>
      <c r="F33" s="17">
        <v>11975.842954</v>
      </c>
      <c r="G33" s="17">
        <v>4890.4445290000003</v>
      </c>
      <c r="H33" s="17">
        <v>163.27223999999998</v>
      </c>
      <c r="I33" s="17">
        <v>15157.092120000001</v>
      </c>
      <c r="J33" s="17">
        <v>105530.497233</v>
      </c>
    </row>
    <row r="34" spans="1:10" ht="12.75" x14ac:dyDescent="0.2">
      <c r="A34" s="37" t="s">
        <v>31</v>
      </c>
      <c r="B34" s="17">
        <v>6562.2293200000004</v>
      </c>
      <c r="C34" s="17">
        <v>0</v>
      </c>
      <c r="D34" s="17">
        <v>19095.891099999997</v>
      </c>
      <c r="E34" s="17">
        <v>8319.1749065480981</v>
      </c>
      <c r="F34" s="17">
        <v>12078.714864999998</v>
      </c>
      <c r="G34" s="17">
        <v>0</v>
      </c>
      <c r="H34" s="17">
        <v>154.99241999999998</v>
      </c>
      <c r="I34" s="17">
        <v>16319.159250000002</v>
      </c>
      <c r="J34" s="17">
        <v>62530.161861548098</v>
      </c>
    </row>
    <row r="35" spans="1:10" ht="12.75" x14ac:dyDescent="0.2">
      <c r="A35" s="27" t="s">
        <v>17</v>
      </c>
      <c r="B35" s="23">
        <f t="shared" ref="B35:C35" si="8">SUM(B31:B34)</f>
        <v>108012.40776387499</v>
      </c>
      <c r="C35" s="23">
        <f t="shared" si="8"/>
        <v>12370.808506449999</v>
      </c>
      <c r="D35" s="23">
        <f>SUM(D31:D34)</f>
        <v>86992.154020000002</v>
      </c>
      <c r="E35" s="23">
        <f t="shared" ref="E35:J35" si="9">SUM(E31:E34)</f>
        <v>37613.950138214306</v>
      </c>
      <c r="F35" s="23">
        <f t="shared" si="9"/>
        <v>39174.952396000001</v>
      </c>
      <c r="G35" s="23">
        <f t="shared" si="9"/>
        <v>4890.4445290000003</v>
      </c>
      <c r="H35" s="23">
        <f t="shared" si="9"/>
        <v>406.38905999999997</v>
      </c>
      <c r="I35" s="23">
        <f t="shared" si="9"/>
        <v>69477.183010000008</v>
      </c>
      <c r="J35" s="23">
        <f t="shared" si="9"/>
        <v>358938.2894235393</v>
      </c>
    </row>
    <row r="36" spans="1:10" ht="12.75" x14ac:dyDescent="0.2">
      <c r="A36" s="27">
        <v>2021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0" ht="12.75" x14ac:dyDescent="0.2">
      <c r="A37" s="54" t="s">
        <v>28</v>
      </c>
      <c r="B37" s="17">
        <v>16672.938900000001</v>
      </c>
      <c r="C37" s="17">
        <v>2664.8535099999999</v>
      </c>
      <c r="D37" s="17">
        <v>20255.487739999997</v>
      </c>
      <c r="E37" s="17">
        <v>7655.0959999999995</v>
      </c>
      <c r="F37" s="17">
        <v>10100.975462</v>
      </c>
      <c r="G37" s="17">
        <v>23.156639999999999</v>
      </c>
      <c r="H37" s="17">
        <v>113.59327999999999</v>
      </c>
      <c r="I37" s="17">
        <v>22407.074069999999</v>
      </c>
      <c r="J37" s="17">
        <v>79893.175602000003</v>
      </c>
    </row>
    <row r="38" spans="1:10" ht="12.75" x14ac:dyDescent="0.2">
      <c r="A38" s="17" t="s">
        <v>29</v>
      </c>
      <c r="B38" s="17">
        <v>48660.452495000005</v>
      </c>
      <c r="C38" s="17">
        <v>2847.3969900000002</v>
      </c>
      <c r="D38" s="17">
        <v>29687.618059999997</v>
      </c>
      <c r="E38" s="17">
        <v>9937.7240000000002</v>
      </c>
      <c r="F38" s="17">
        <v>4667.7939200000001</v>
      </c>
      <c r="G38" s="17">
        <v>258.65968199999998</v>
      </c>
      <c r="H38" s="17">
        <v>116.26610000000001</v>
      </c>
      <c r="I38" s="17">
        <v>24746.078739999986</v>
      </c>
      <c r="J38" s="17">
        <v>120921.98998699998</v>
      </c>
    </row>
    <row r="39" spans="1:10" ht="12.75" x14ac:dyDescent="0.2">
      <c r="A39" s="17" t="s">
        <v>30</v>
      </c>
      <c r="B39" s="17">
        <v>48442.987150000001</v>
      </c>
      <c r="C39" s="17">
        <v>9223.8968499999992</v>
      </c>
      <c r="D39" s="17">
        <v>20493.720100000002</v>
      </c>
      <c r="E39" s="17">
        <v>8834.0990000000002</v>
      </c>
      <c r="F39" s="17">
        <v>18550.483134999999</v>
      </c>
      <c r="G39" s="17">
        <v>301.49304100000001</v>
      </c>
      <c r="H39" s="17">
        <v>147.20649</v>
      </c>
      <c r="I39" s="17">
        <v>22187.370590000002</v>
      </c>
      <c r="J39" s="17">
        <v>128181.256356</v>
      </c>
    </row>
    <row r="40" spans="1:10" ht="12.75" x14ac:dyDescent="0.2">
      <c r="A40" s="37" t="s">
        <v>31</v>
      </c>
      <c r="B40" s="17">
        <v>13124.677170000001</v>
      </c>
      <c r="C40" s="17">
        <v>0</v>
      </c>
      <c r="D40" s="17">
        <v>20543.218780000003</v>
      </c>
      <c r="E40" s="17">
        <v>3927.3130000000001</v>
      </c>
      <c r="F40" s="17">
        <v>19667.341855999999</v>
      </c>
      <c r="G40" s="17">
        <v>8002.4490070000002</v>
      </c>
      <c r="H40" s="17">
        <v>261.46800000000002</v>
      </c>
      <c r="I40" s="17">
        <v>27310.883299999998</v>
      </c>
      <c r="J40" s="17">
        <v>92837.351113000012</v>
      </c>
    </row>
    <row r="41" spans="1:10" ht="12.75" x14ac:dyDescent="0.2">
      <c r="A41" s="27" t="s">
        <v>17</v>
      </c>
      <c r="B41" s="23">
        <f t="shared" ref="B41:C41" si="10">SUM(B37:B40)</f>
        <v>126901.05571500001</v>
      </c>
      <c r="C41" s="23">
        <f t="shared" si="10"/>
        <v>14736.147349999999</v>
      </c>
      <c r="D41" s="23">
        <f>SUM(D37:D40)</f>
        <v>90980.044679999992</v>
      </c>
      <c r="E41" s="23">
        <f t="shared" ref="E41:J41" si="11">SUM(E37:E40)</f>
        <v>30354.232000000004</v>
      </c>
      <c r="F41" s="23">
        <f t="shared" si="11"/>
        <v>52986.594373</v>
      </c>
      <c r="G41" s="23">
        <f t="shared" si="11"/>
        <v>8585.7583699999996</v>
      </c>
      <c r="H41" s="23">
        <f t="shared" si="11"/>
        <v>638.53386999999998</v>
      </c>
      <c r="I41" s="23">
        <f t="shared" si="11"/>
        <v>96651.406699999992</v>
      </c>
      <c r="J41" s="23">
        <f t="shared" si="11"/>
        <v>421833.77305799996</v>
      </c>
    </row>
    <row r="42" spans="1:10" ht="12.75" x14ac:dyDescent="0.2">
      <c r="A42" s="1" t="s">
        <v>57</v>
      </c>
      <c r="B42" s="17"/>
      <c r="C42" s="17"/>
      <c r="D42" s="17"/>
      <c r="E42" s="17"/>
      <c r="F42" s="17"/>
      <c r="G42" s="23"/>
      <c r="H42" s="23"/>
      <c r="I42" s="23"/>
      <c r="J42" s="23"/>
    </row>
    <row r="43" spans="1:10" ht="12.75" x14ac:dyDescent="0.2">
      <c r="A43" s="1" t="s">
        <v>54</v>
      </c>
      <c r="B43" s="17"/>
      <c r="C43" s="17"/>
      <c r="D43" s="17"/>
      <c r="E43" s="17"/>
      <c r="G43" s="23"/>
      <c r="H43" s="23"/>
      <c r="I43" s="23"/>
      <c r="J43" s="23"/>
    </row>
    <row r="44" spans="1:10" ht="12.75" x14ac:dyDescent="0.2">
      <c r="A44" s="1" t="s">
        <v>55</v>
      </c>
      <c r="B44" s="17"/>
      <c r="C44" s="17"/>
      <c r="D44" s="17"/>
      <c r="E44" s="17"/>
      <c r="G44" s="17"/>
      <c r="H44" s="17"/>
      <c r="I44" s="17"/>
      <c r="J44" s="17"/>
    </row>
  </sheetData>
  <pageMargins left="0.7" right="0.7" top="0.75" bottom="0.75" header="0.3" footer="0.3"/>
  <pageSetup paperSize="9" orientation="portrait" r:id="rId1"/>
  <ignoredErrors>
    <ignoredError sqref="A6 A12 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RowHeight="12" x14ac:dyDescent="0.15"/>
  <sheetData>
    <row r="1" spans="1:11" ht="15.75" x14ac:dyDescent="0.1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19"/>
    </row>
    <row r="2" spans="1:11" ht="15.75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19"/>
    </row>
    <row r="3" spans="1:11" ht="12.75" x14ac:dyDescent="0.2">
      <c r="A3" s="1"/>
      <c r="B3" s="1"/>
      <c r="C3" s="1"/>
      <c r="D3" s="1"/>
      <c r="E3" s="1" t="s">
        <v>0</v>
      </c>
      <c r="F3" s="1"/>
      <c r="G3" s="1"/>
      <c r="H3" s="1"/>
      <c r="I3" s="1"/>
      <c r="J3" s="39" t="s">
        <v>26</v>
      </c>
    </row>
    <row r="4" spans="1:11" s="4" customFormat="1" ht="12.75" x14ac:dyDescent="0.15">
      <c r="A4" s="42"/>
      <c r="B4" s="42"/>
      <c r="C4" s="42"/>
      <c r="D4" s="42"/>
      <c r="E4" s="42" t="s">
        <v>1</v>
      </c>
      <c r="F4" s="42" t="s">
        <v>2</v>
      </c>
      <c r="G4" s="42" t="s">
        <v>27</v>
      </c>
      <c r="H4" s="42"/>
      <c r="I4" s="42"/>
      <c r="J4" s="44"/>
    </row>
    <row r="5" spans="1:11" s="4" customFormat="1" ht="12.75" x14ac:dyDescent="0.15">
      <c r="A5" s="43" t="s">
        <v>3</v>
      </c>
      <c r="B5" s="43" t="s">
        <v>4</v>
      </c>
      <c r="C5" s="43" t="s">
        <v>32</v>
      </c>
      <c r="D5" s="43" t="s">
        <v>33</v>
      </c>
      <c r="E5" s="43" t="s">
        <v>37</v>
      </c>
      <c r="F5" s="43" t="s">
        <v>5</v>
      </c>
      <c r="G5" s="43" t="s">
        <v>34</v>
      </c>
      <c r="H5" s="43" t="s">
        <v>36</v>
      </c>
      <c r="I5" s="43" t="s">
        <v>35</v>
      </c>
      <c r="J5" s="45" t="s">
        <v>17</v>
      </c>
    </row>
    <row r="6" spans="1:11" ht="12.75" x14ac:dyDescent="0.2">
      <c r="A6" s="49" t="s">
        <v>58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12.75" x14ac:dyDescent="0.2">
      <c r="A7" s="17" t="s">
        <v>28</v>
      </c>
      <c r="B7" s="17">
        <v>26428.596609999997</v>
      </c>
      <c r="C7" s="17">
        <v>0</v>
      </c>
      <c r="D7" s="17">
        <v>19884.238459999997</v>
      </c>
      <c r="E7" s="17">
        <v>7014.1120000000001</v>
      </c>
      <c r="F7" s="17">
        <v>11508.86577</v>
      </c>
      <c r="G7" s="17">
        <v>1277.53172</v>
      </c>
      <c r="H7" s="17">
        <v>248.73353999999998</v>
      </c>
      <c r="I7" s="17">
        <v>30242.998679999993</v>
      </c>
      <c r="J7" s="17">
        <f>B7+C7+D7+E7+F7+G7+H7+I7</f>
        <v>96605.076779999989</v>
      </c>
    </row>
    <row r="8" spans="1:11" ht="12.75" x14ac:dyDescent="0.2">
      <c r="A8" s="17" t="s">
        <v>29</v>
      </c>
      <c r="B8" s="17">
        <v>65449.491541875002</v>
      </c>
      <c r="C8" s="17">
        <v>10837.172474075</v>
      </c>
      <c r="D8" s="17">
        <v>28058.366020000001</v>
      </c>
      <c r="E8" s="17">
        <v>9853.8592169297899</v>
      </c>
      <c r="F8" s="17">
        <v>9386.4840999999997</v>
      </c>
      <c r="G8" s="17">
        <v>415.58294599999999</v>
      </c>
      <c r="H8" s="17">
        <v>230.47920000000002</v>
      </c>
      <c r="I8" s="17">
        <v>38285.666650000021</v>
      </c>
      <c r="J8" s="17">
        <f>B8+C8+D8+E8+F8+G8+H8+I8</f>
        <v>162517.10214887981</v>
      </c>
    </row>
    <row r="9" spans="1:11" ht="12.75" x14ac:dyDescent="0.2">
      <c r="A9" s="17" t="s">
        <v>30</v>
      </c>
      <c r="B9" s="17">
        <v>48478.127536874999</v>
      </c>
      <c r="C9" s="17">
        <v>2896.2070399999998</v>
      </c>
      <c r="D9" s="17">
        <v>17401.908319999999</v>
      </c>
      <c r="E9" s="17">
        <v>4320.0011371432438</v>
      </c>
      <c r="F9" s="17">
        <v>15473.342970000002</v>
      </c>
      <c r="G9" s="17">
        <v>1153.0260660000001</v>
      </c>
      <c r="H9" s="17">
        <v>172.66571999999999</v>
      </c>
      <c r="I9" s="17">
        <v>33172.993050000005</v>
      </c>
      <c r="J9" s="17">
        <f t="shared" ref="J9:J10" si="0">B9+C9+D9+E9+F9+G9+H9+I9</f>
        <v>123068.27184001826</v>
      </c>
    </row>
    <row r="10" spans="1:11" ht="12.75" x14ac:dyDescent="0.2">
      <c r="A10" s="37" t="s">
        <v>31</v>
      </c>
      <c r="B10" s="17">
        <v>15559.635249999999</v>
      </c>
      <c r="C10" s="17">
        <v>909.03597000000002</v>
      </c>
      <c r="D10" s="17">
        <v>14511.422140000001</v>
      </c>
      <c r="E10" s="17">
        <v>1192.3050000000001</v>
      </c>
      <c r="F10" s="17">
        <v>17128.910479999999</v>
      </c>
      <c r="G10" s="17">
        <v>484.81273499999998</v>
      </c>
      <c r="H10" s="17">
        <v>109.81656</v>
      </c>
      <c r="I10" s="17">
        <v>35151.72019</v>
      </c>
      <c r="J10" s="17">
        <f t="shared" si="0"/>
        <v>85047.658324999997</v>
      </c>
    </row>
    <row r="11" spans="1:11" ht="12.75" x14ac:dyDescent="0.2">
      <c r="A11" s="25" t="s">
        <v>17</v>
      </c>
      <c r="B11" s="23">
        <f>SUM(B7:B10)</f>
        <v>155915.85093874999</v>
      </c>
      <c r="C11" s="23">
        <f t="shared" ref="C11:J11" si="1">SUM(C7:C10)</f>
        <v>14642.415484075</v>
      </c>
      <c r="D11" s="23">
        <f t="shared" si="1"/>
        <v>79855.934939999992</v>
      </c>
      <c r="E11" s="23">
        <f t="shared" si="1"/>
        <v>22380.277354073034</v>
      </c>
      <c r="F11" s="23">
        <f t="shared" si="1"/>
        <v>53497.603320000002</v>
      </c>
      <c r="G11" s="23">
        <f t="shared" si="1"/>
        <v>3330.9534669999998</v>
      </c>
      <c r="H11" s="23">
        <f t="shared" si="1"/>
        <v>761.69502</v>
      </c>
      <c r="I11" s="23">
        <f t="shared" si="1"/>
        <v>136853.37857000003</v>
      </c>
      <c r="J11" s="23">
        <f t="shared" si="1"/>
        <v>467238.10909389809</v>
      </c>
    </row>
    <row r="12" spans="1:11" ht="12.75" x14ac:dyDescent="0.2">
      <c r="A12" s="25" t="s">
        <v>59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1" ht="12.75" x14ac:dyDescent="0.2">
      <c r="A13" s="17" t="s">
        <v>28</v>
      </c>
      <c r="B13" s="17">
        <v>23652.186849999998</v>
      </c>
      <c r="C13" s="17">
        <v>1722.6279500000001</v>
      </c>
      <c r="D13" s="17">
        <v>9910.349400000001</v>
      </c>
      <c r="E13" s="17">
        <v>5737.3040000000001</v>
      </c>
      <c r="F13" s="17">
        <v>10687.327318</v>
      </c>
      <c r="G13" s="17">
        <v>282.74627000000004</v>
      </c>
      <c r="H13" s="17">
        <v>143.20215000000002</v>
      </c>
      <c r="I13" s="17">
        <v>32099.450069999999</v>
      </c>
      <c r="J13" s="17">
        <f>B13+C13+D13+E13+F13+G13+H13+I13</f>
        <v>84235.194007999991</v>
      </c>
    </row>
    <row r="14" spans="1:11" ht="12.75" x14ac:dyDescent="0.2">
      <c r="A14" s="17" t="s">
        <v>29</v>
      </c>
      <c r="B14" s="17">
        <v>61055.526038374999</v>
      </c>
      <c r="C14" s="17">
        <v>11622.899000000001</v>
      </c>
      <c r="D14" s="17">
        <v>18819.48446</v>
      </c>
      <c r="E14" s="17">
        <v>4361.808</v>
      </c>
      <c r="F14" s="17">
        <v>6124.5563000000002</v>
      </c>
      <c r="G14" s="17">
        <v>386.42386300000004</v>
      </c>
      <c r="H14" s="17">
        <v>137.77910999999997</v>
      </c>
      <c r="I14" s="17">
        <v>32496.774121999988</v>
      </c>
      <c r="J14" s="17">
        <f>B14+C14+D14+E14+F14+G14+H14+I14</f>
        <v>135005.25089337499</v>
      </c>
    </row>
    <row r="15" spans="1:11" ht="12.75" x14ac:dyDescent="0.2">
      <c r="A15" s="17" t="s">
        <v>30</v>
      </c>
      <c r="B15" s="17">
        <v>65145.760390000003</v>
      </c>
      <c r="C15" s="17">
        <v>2020.9601299999999</v>
      </c>
      <c r="D15" s="17">
        <v>15909.748</v>
      </c>
      <c r="E15" s="17">
        <v>3422.491</v>
      </c>
      <c r="F15" s="17">
        <v>9880.5995459999995</v>
      </c>
      <c r="G15" s="17">
        <v>0</v>
      </c>
      <c r="H15" s="17">
        <v>137.74279000000001</v>
      </c>
      <c r="I15" s="17">
        <v>21229.288279999972</v>
      </c>
      <c r="J15" s="17">
        <f t="shared" ref="J15:J16" si="2">B15+C15+D15+E15+F15+G15+H15+I15</f>
        <v>117746.59013599996</v>
      </c>
    </row>
    <row r="16" spans="1:11" ht="12.75" x14ac:dyDescent="0.2">
      <c r="A16" s="37" t="s">
        <v>31</v>
      </c>
      <c r="B16" s="17">
        <v>16649.489999999998</v>
      </c>
      <c r="C16" s="17">
        <v>0</v>
      </c>
      <c r="D16" s="17">
        <v>18503.27002</v>
      </c>
      <c r="E16" s="17">
        <v>1008.306</v>
      </c>
      <c r="F16" s="17">
        <v>12732.600699999999</v>
      </c>
      <c r="G16" s="17">
        <v>0</v>
      </c>
      <c r="H16" s="17">
        <v>238.29902999999999</v>
      </c>
      <c r="I16" s="17">
        <v>22358.603159999988</v>
      </c>
      <c r="J16" s="17">
        <f t="shared" si="2"/>
        <v>71490.568909999987</v>
      </c>
    </row>
    <row r="17" spans="1:10" ht="12.75" x14ac:dyDescent="0.2">
      <c r="A17" s="25" t="s">
        <v>17</v>
      </c>
      <c r="B17" s="23">
        <f>SUM(B13:B16)</f>
        <v>166502.96327837498</v>
      </c>
      <c r="C17" s="23">
        <f t="shared" ref="C17:J17" si="3">SUM(C13:C16)</f>
        <v>15366.487080000001</v>
      </c>
      <c r="D17" s="23">
        <f t="shared" si="3"/>
        <v>63142.851880000002</v>
      </c>
      <c r="E17" s="23">
        <f t="shared" si="3"/>
        <v>14529.909000000001</v>
      </c>
      <c r="F17" s="23">
        <f t="shared" si="3"/>
        <v>39425.083864</v>
      </c>
      <c r="G17" s="23">
        <f t="shared" si="3"/>
        <v>669.17013300000008</v>
      </c>
      <c r="H17" s="23">
        <f t="shared" si="3"/>
        <v>657.02308000000005</v>
      </c>
      <c r="I17" s="23">
        <f t="shared" si="3"/>
        <v>108184.11563199994</v>
      </c>
      <c r="J17" s="23">
        <f t="shared" si="3"/>
        <v>408477.60394737491</v>
      </c>
    </row>
    <row r="18" spans="1:10" ht="12.75" x14ac:dyDescent="0.2">
      <c r="A18" s="55">
        <v>2024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2.75" x14ac:dyDescent="0.2">
      <c r="A19" s="17" t="s">
        <v>28</v>
      </c>
      <c r="B19" s="17">
        <v>8940.5160599999999</v>
      </c>
      <c r="C19" s="17">
        <v>5407.1124</v>
      </c>
      <c r="D19" s="17">
        <v>19699.2997</v>
      </c>
      <c r="E19" s="17">
        <v>1218.9898800000001</v>
      </c>
      <c r="F19" s="17">
        <v>6272.4049749999995</v>
      </c>
      <c r="G19" s="17">
        <v>0</v>
      </c>
      <c r="H19" s="17">
        <v>400.26393000000007</v>
      </c>
      <c r="I19" s="17">
        <v>24789.33041000001</v>
      </c>
      <c r="J19" s="17">
        <f>B19+C19+D19+E19+F19+G19+H19+I19</f>
        <v>66727.917355000012</v>
      </c>
    </row>
    <row r="20" spans="1:10" ht="12.75" x14ac:dyDescent="0.2">
      <c r="A20" s="17" t="s">
        <v>29</v>
      </c>
      <c r="B20" s="17">
        <v>53751.817230000001</v>
      </c>
      <c r="C20" s="17">
        <v>10846.75987</v>
      </c>
      <c r="D20" s="17">
        <v>24839.633020000001</v>
      </c>
      <c r="E20" s="17">
        <v>4805.4129999999996</v>
      </c>
      <c r="F20" s="17">
        <v>5679.7761319999991</v>
      </c>
      <c r="G20" s="17">
        <v>0</v>
      </c>
      <c r="H20" s="17">
        <v>788.04760999999996</v>
      </c>
      <c r="I20" s="17">
        <v>29679.944439999999</v>
      </c>
      <c r="J20" s="17">
        <f>B20+C20+D20+E20+F20+G20+H20+I20</f>
        <v>130391.391302</v>
      </c>
    </row>
    <row r="21" spans="1:10" ht="12.75" x14ac:dyDescent="0.2">
      <c r="A21" s="17" t="s">
        <v>30</v>
      </c>
      <c r="B21" s="17">
        <v>92568.185880000005</v>
      </c>
      <c r="C21" s="17">
        <v>5471.9355099999993</v>
      </c>
      <c r="D21" s="17">
        <v>19384.27752</v>
      </c>
      <c r="E21" s="17">
        <v>10722.80732946</v>
      </c>
      <c r="F21" s="17">
        <v>11122.29088</v>
      </c>
      <c r="G21" s="17">
        <v>0</v>
      </c>
      <c r="H21" s="17">
        <v>315.21420000000001</v>
      </c>
      <c r="I21" s="17">
        <v>20864.659130000004</v>
      </c>
      <c r="J21" s="17">
        <f t="shared" ref="J21:J22" si="4">B21+C21+D21+E21+F21+G21+H21+I21</f>
        <v>160449.37044946002</v>
      </c>
    </row>
    <row r="22" spans="1:10" ht="12.75" x14ac:dyDescent="0.2">
      <c r="A22" s="37" t="s">
        <v>31</v>
      </c>
      <c r="B22" s="17">
        <v>7945.6212299999997</v>
      </c>
      <c r="C22" s="17">
        <v>3412.5685600000002</v>
      </c>
      <c r="D22" s="17">
        <v>17943.568780000001</v>
      </c>
      <c r="E22" s="17">
        <v>8693.2795554612057</v>
      </c>
      <c r="F22" s="17">
        <v>12607.829685000002</v>
      </c>
      <c r="G22" s="17">
        <v>0</v>
      </c>
      <c r="H22" s="17">
        <v>311.82480000000004</v>
      </c>
      <c r="I22" s="17">
        <v>23843.03033999999</v>
      </c>
      <c r="J22" s="17">
        <f t="shared" si="4"/>
        <v>74757.722950461204</v>
      </c>
    </row>
    <row r="23" spans="1:10" ht="12.75" x14ac:dyDescent="0.2">
      <c r="A23" s="25" t="s">
        <v>17</v>
      </c>
      <c r="B23" s="23">
        <f>SUM(B19:B22)</f>
        <v>163206.1404</v>
      </c>
      <c r="C23" s="23">
        <f t="shared" ref="C23:J23" si="5">SUM(C19:C22)</f>
        <v>25138.376339999999</v>
      </c>
      <c r="D23" s="23">
        <f t="shared" si="5"/>
        <v>81866.779020000002</v>
      </c>
      <c r="E23" s="23">
        <f t="shared" si="5"/>
        <v>25440.489764921203</v>
      </c>
      <c r="F23" s="23">
        <f t="shared" si="5"/>
        <v>35682.301672000001</v>
      </c>
      <c r="G23" s="23">
        <f t="shared" si="5"/>
        <v>0</v>
      </c>
      <c r="H23" s="23">
        <f t="shared" si="5"/>
        <v>1815.3505400000001</v>
      </c>
      <c r="I23" s="23">
        <f t="shared" si="5"/>
        <v>99176.964319999999</v>
      </c>
      <c r="J23" s="23">
        <f t="shared" si="5"/>
        <v>432326.40205692127</v>
      </c>
    </row>
    <row r="24" spans="1:10" ht="12.75" x14ac:dyDescent="0.2">
      <c r="A24" s="55">
        <v>2025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2.75" x14ac:dyDescent="0.2">
      <c r="A25" s="17" t="s">
        <v>28</v>
      </c>
      <c r="B25" s="17">
        <v>9778.3637000000017</v>
      </c>
      <c r="C25" s="17">
        <v>1024.0909999999999</v>
      </c>
      <c r="D25" s="17">
        <v>23835.040599999997</v>
      </c>
      <c r="E25" s="17">
        <v>4567.9924399999991</v>
      </c>
      <c r="F25" s="17">
        <v>10312.214892999998</v>
      </c>
      <c r="G25" s="17">
        <v>0</v>
      </c>
      <c r="H25" s="17">
        <v>203.364</v>
      </c>
      <c r="I25" s="17">
        <v>22519.819399999993</v>
      </c>
      <c r="J25" s="17">
        <f>B25+C25+D25+E25+F25+G25+H25+I25</f>
        <v>72240.886032999988</v>
      </c>
    </row>
    <row r="26" spans="1:10" ht="12.75" x14ac:dyDescent="0.2">
      <c r="A26" s="17" t="s">
        <v>29</v>
      </c>
      <c r="B26" s="17">
        <v>55936.216140000011</v>
      </c>
      <c r="C26" s="17">
        <v>6596.82006</v>
      </c>
      <c r="D26" s="17">
        <v>29307.102139999999</v>
      </c>
      <c r="E26" s="17">
        <v>7028.2891</v>
      </c>
      <c r="F26" s="17">
        <v>5420.5200599999998</v>
      </c>
      <c r="G26" s="17">
        <v>0</v>
      </c>
      <c r="H26" s="17">
        <v>198.27990000000003</v>
      </c>
      <c r="I26" s="17">
        <v>27448.331739999998</v>
      </c>
      <c r="J26" s="17">
        <f>B26+C26+D26+E26+F26+G26+H26+I26</f>
        <v>131935.55914</v>
      </c>
    </row>
    <row r="27" spans="1:10" ht="12.75" x14ac:dyDescent="0.2">
      <c r="A27" s="17" t="s">
        <v>30</v>
      </c>
      <c r="B27" s="17">
        <v>39561.656275000001</v>
      </c>
      <c r="C27" s="17">
        <v>1949.8446100000001</v>
      </c>
      <c r="D27" s="17">
        <v>17830.08252</v>
      </c>
      <c r="E27" s="17">
        <v>7674.7499600000001</v>
      </c>
      <c r="F27" s="17">
        <v>15466.609186000002</v>
      </c>
      <c r="G27" s="17">
        <v>0</v>
      </c>
      <c r="H27" s="17">
        <v>513.25199999999995</v>
      </c>
      <c r="I27" s="17">
        <v>22538.711800000005</v>
      </c>
      <c r="J27" s="17">
        <f t="shared" ref="J27:J28" si="6">B27+C27+D27+E27+F27+G27+H27+I27</f>
        <v>105534.906351</v>
      </c>
    </row>
    <row r="28" spans="1:10" ht="12.75" x14ac:dyDescent="0.2">
      <c r="A28" s="37" t="s">
        <v>31</v>
      </c>
      <c r="B28" s="17">
        <v>15035.618849999999</v>
      </c>
      <c r="C28" s="17">
        <v>0</v>
      </c>
      <c r="D28" s="17">
        <v>21144.705959999999</v>
      </c>
      <c r="E28" s="17">
        <v>5013.2049999999999</v>
      </c>
      <c r="F28" s="17">
        <v>13699.908535</v>
      </c>
      <c r="G28" s="17">
        <v>0</v>
      </c>
      <c r="H28" s="17">
        <v>435.78</v>
      </c>
      <c r="I28" s="17">
        <v>23345.834240000007</v>
      </c>
      <c r="J28" s="17">
        <f t="shared" si="6"/>
        <v>78675.052585000012</v>
      </c>
    </row>
    <row r="29" spans="1:10" ht="12.75" x14ac:dyDescent="0.2">
      <c r="A29" s="25" t="s">
        <v>17</v>
      </c>
      <c r="B29" s="23">
        <f>SUM(B25:B28)</f>
        <v>120311.85496500002</v>
      </c>
      <c r="C29" s="23">
        <f t="shared" ref="C29:J29" si="7">SUM(C25:C28)</f>
        <v>9570.7556700000005</v>
      </c>
      <c r="D29" s="23">
        <f t="shared" si="7"/>
        <v>92116.931219999999</v>
      </c>
      <c r="E29" s="23">
        <f t="shared" si="7"/>
        <v>24284.236499999999</v>
      </c>
      <c r="F29" s="23">
        <f t="shared" si="7"/>
        <v>44899.252674000003</v>
      </c>
      <c r="G29" s="23">
        <f t="shared" si="7"/>
        <v>0</v>
      </c>
      <c r="H29" s="23">
        <f t="shared" si="7"/>
        <v>1350.6759</v>
      </c>
      <c r="I29" s="23">
        <f t="shared" si="7"/>
        <v>95852.697180000003</v>
      </c>
      <c r="J29" s="23">
        <f t="shared" si="7"/>
        <v>388386.404109</v>
      </c>
    </row>
    <row r="30" spans="1:10" ht="12.75" x14ac:dyDescent="0.2">
      <c r="A30" s="1" t="s">
        <v>57</v>
      </c>
      <c r="B30" s="17"/>
      <c r="C30" s="17"/>
      <c r="D30" s="17"/>
      <c r="E30" s="17"/>
      <c r="F30" s="17"/>
      <c r="G30" s="23"/>
      <c r="H30" s="23"/>
      <c r="I30" s="23"/>
      <c r="J30" s="23"/>
    </row>
    <row r="31" spans="1:10" ht="12.75" x14ac:dyDescent="0.2">
      <c r="A31" s="1" t="s">
        <v>54</v>
      </c>
      <c r="B31" s="17"/>
      <c r="C31" s="17"/>
      <c r="D31" s="17"/>
      <c r="E31" s="17"/>
      <c r="G31" s="23"/>
      <c r="H31" s="23"/>
      <c r="I31" s="23"/>
      <c r="J31" s="23"/>
    </row>
    <row r="32" spans="1:10" ht="12.75" x14ac:dyDescent="0.2">
      <c r="A32" s="1" t="s">
        <v>55</v>
      </c>
      <c r="B32" s="17"/>
      <c r="C32" s="17"/>
      <c r="D32" s="17"/>
      <c r="E32" s="17"/>
      <c r="G32" s="17"/>
      <c r="H32" s="17"/>
      <c r="I32" s="17"/>
      <c r="J32" s="17"/>
    </row>
    <row r="43" spans="12:12" x14ac:dyDescent="0.15">
      <c r="L43" s="53"/>
    </row>
    <row r="44" spans="12:12" x14ac:dyDescent="0.15">
      <c r="L44" s="53"/>
    </row>
    <row r="45" spans="12:12" x14ac:dyDescent="0.15">
      <c r="L45" s="5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showGridLines="0" workbookViewId="0">
      <selection activeCell="E15" sqref="E15"/>
    </sheetView>
  </sheetViews>
  <sheetFormatPr defaultColWidth="9" defaultRowHeight="15" x14ac:dyDescent="0.2"/>
  <cols>
    <col min="1" max="16384" width="9" style="47"/>
  </cols>
  <sheetData>
    <row r="1" spans="1:13" ht="15.75" x14ac:dyDescent="0.25">
      <c r="A1" s="58" t="s">
        <v>60</v>
      </c>
      <c r="B1" s="58"/>
      <c r="C1" s="58"/>
      <c r="D1" s="58"/>
      <c r="E1" s="58"/>
      <c r="F1" s="58"/>
      <c r="G1" s="58"/>
      <c r="H1" s="58"/>
      <c r="I1" s="58"/>
      <c r="J1" s="46"/>
      <c r="K1" s="46"/>
      <c r="L1" s="46"/>
      <c r="M1" s="46"/>
    </row>
    <row r="2" spans="1:13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4.25" customHeight="1" x14ac:dyDescent="0.2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1"/>
      <c r="K3" s="51"/>
      <c r="L3" s="51"/>
      <c r="M3" s="51"/>
    </row>
    <row r="4" spans="1:13" ht="14.25" customHeight="1" x14ac:dyDescent="0.2">
      <c r="A4" s="57" t="s">
        <v>39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4.25" customHeight="1" x14ac:dyDescent="0.2">
      <c r="A6" s="57" t="s">
        <v>41</v>
      </c>
      <c r="B6" s="57"/>
      <c r="C6" s="57"/>
      <c r="D6" s="57"/>
      <c r="E6" s="57"/>
      <c r="F6" s="57"/>
      <c r="G6" s="57"/>
      <c r="H6" s="57"/>
      <c r="I6" s="57"/>
      <c r="J6" s="46"/>
      <c r="K6" s="46"/>
      <c r="L6" s="46"/>
      <c r="M6" s="46"/>
    </row>
    <row r="7" spans="1:13" ht="14.25" customHeight="1" x14ac:dyDescent="0.2">
      <c r="A7" s="57" t="s">
        <v>40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ht="14.25" customHeight="1" x14ac:dyDescent="0.2">
      <c r="A9" s="57" t="s">
        <v>42</v>
      </c>
      <c r="B9" s="57"/>
      <c r="C9" s="57"/>
      <c r="D9" s="57"/>
      <c r="E9" s="57"/>
      <c r="F9" s="57"/>
      <c r="G9" s="57"/>
      <c r="H9" s="57"/>
      <c r="I9" s="57"/>
      <c r="J9" s="46"/>
      <c r="K9" s="46"/>
      <c r="L9" s="46"/>
      <c r="M9" s="46"/>
    </row>
    <row r="10" spans="1:13" ht="14.25" customHeight="1" x14ac:dyDescent="0.2">
      <c r="A10" s="57" t="s">
        <v>43</v>
      </c>
      <c r="B10" s="57"/>
      <c r="C10" s="57"/>
      <c r="D10" s="57"/>
      <c r="E10" s="57"/>
      <c r="F10" s="57"/>
      <c r="G10" s="57"/>
      <c r="H10" s="57"/>
      <c r="I10" s="57"/>
      <c r="J10" s="46"/>
      <c r="K10" s="46"/>
      <c r="L10" s="46"/>
      <c r="M10" s="46"/>
    </row>
    <row r="11" spans="1:13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3" ht="15" customHeight="1" x14ac:dyDescent="0.2">
      <c r="A12" s="57" t="s">
        <v>44</v>
      </c>
      <c r="B12" s="57"/>
      <c r="C12" s="57"/>
      <c r="D12" s="57"/>
      <c r="E12" s="57"/>
      <c r="F12" s="57"/>
      <c r="G12" s="57"/>
      <c r="H12" s="57"/>
      <c r="I12" s="57"/>
      <c r="J12" s="46"/>
      <c r="K12" s="46"/>
      <c r="L12" s="46"/>
      <c r="M12" s="46"/>
    </row>
    <row r="13" spans="1:13" ht="15" customHeight="1" x14ac:dyDescent="0.2">
      <c r="A13" s="57" t="s">
        <v>45</v>
      </c>
      <c r="B13" s="57"/>
      <c r="C13" s="57"/>
      <c r="D13" s="57"/>
      <c r="E13" s="57"/>
      <c r="F13" s="57"/>
      <c r="G13" s="57"/>
      <c r="H13" s="57"/>
      <c r="I13" s="57"/>
      <c r="J13" s="46"/>
      <c r="K13" s="46"/>
      <c r="L13" s="46"/>
      <c r="M13" s="46"/>
    </row>
    <row r="14" spans="1:13" x14ac:dyDescent="0.2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x14ac:dyDescent="0.2">
      <c r="A15" s="46" t="s">
        <v>46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x14ac:dyDescent="0.2">
      <c r="A16" s="46" t="s">
        <v>47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x14ac:dyDescent="0.2">
      <c r="A17" s="46" t="s">
        <v>48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1:13" x14ac:dyDescent="0.2">
      <c r="A19" s="46" t="s">
        <v>49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x14ac:dyDescent="0.2">
      <c r="A20" s="51" t="s">
        <v>50</v>
      </c>
      <c r="B20" s="46"/>
      <c r="C20" s="46"/>
      <c r="D20" s="46"/>
      <c r="E20" s="46"/>
      <c r="F20" s="46"/>
      <c r="G20" s="46"/>
      <c r="H20" s="46"/>
      <c r="I20" s="46"/>
      <c r="J20" s="52"/>
      <c r="K20" s="46"/>
      <c r="L20" s="46"/>
      <c r="M20" s="46"/>
    </row>
    <row r="21" spans="1:13" x14ac:dyDescent="0.2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3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3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</sheetData>
  <mergeCells count="17">
    <mergeCell ref="A1:I1"/>
    <mergeCell ref="A3:I3"/>
    <mergeCell ref="A6:I6"/>
    <mergeCell ref="A9:I9"/>
    <mergeCell ref="A10:I10"/>
    <mergeCell ref="A7:I7"/>
    <mergeCell ref="A2:I2"/>
    <mergeCell ref="J2:M2"/>
    <mergeCell ref="A4:I4"/>
    <mergeCell ref="J4:M4"/>
    <mergeCell ref="J7:M7"/>
    <mergeCell ref="A12:I12"/>
    <mergeCell ref="A13:I13"/>
    <mergeCell ref="A21:I21"/>
    <mergeCell ref="J21:M21"/>
    <mergeCell ref="A23:I23"/>
    <mergeCell ref="J23:M23"/>
  </mergeCells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1980-95</vt:lpstr>
      <vt:lpstr>1996-05</vt:lpstr>
      <vt:lpstr>2006-10</vt:lpstr>
      <vt:lpstr>2011-16</vt:lpstr>
      <vt:lpstr>2016-21</vt:lpstr>
      <vt:lpstr>2022-27</vt:lpstr>
      <vt:lpstr>Notes</vt:lpstr>
      <vt:lpstr>'1980-95'!Print_Area</vt:lpstr>
      <vt:lpstr>'1996-05'!Print_Area</vt:lpstr>
      <vt:lpstr>'2006-10'!Print_Area</vt:lpstr>
      <vt:lpstr>'2011-16'!Print_Area</vt:lpstr>
      <vt:lpstr>'1980-95'!Print_Area_MI</vt:lpstr>
      <vt:lpstr>'1980-95'!Print_Titles</vt:lpstr>
      <vt:lpstr>'2006-10'!Print_Titles</vt:lpstr>
      <vt:lpstr>'2011-16'!Print_Titles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Theodora Andrews</cp:lastModifiedBy>
  <cp:lastPrinted>2019-04-12T18:09:33Z</cp:lastPrinted>
  <dcterms:created xsi:type="dcterms:W3CDTF">2001-12-20T16:15:18Z</dcterms:created>
  <dcterms:modified xsi:type="dcterms:W3CDTF">2026-02-05T17:04:44Z</dcterms:modified>
</cp:coreProperties>
</file>