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Statistical Digest 2024\"/>
    </mc:Choice>
  </mc:AlternateContent>
  <xr:revisionPtr revIDLastSave="0" documentId="13_ncr:1_{526E9EF9-068F-4AE3-83A8-931D26D1A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nomic Indicators" sheetId="1" r:id="rId1"/>
  </sheets>
  <definedNames>
    <definedName name="_xlnm.Print_Area" localSheetId="0">'Economic Indicators'!$A$1:$U$69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S11" i="1"/>
  <c r="T11" i="1"/>
  <c r="U11" i="1"/>
  <c r="V11" i="1"/>
  <c r="W11" i="1"/>
  <c r="X11" i="1"/>
  <c r="Y11" i="1"/>
  <c r="R54" i="1"/>
  <c r="S54" i="1"/>
  <c r="T54" i="1"/>
  <c r="U54" i="1"/>
  <c r="V54" i="1"/>
  <c r="W54" i="1"/>
  <c r="X54" i="1"/>
  <c r="Y54" i="1"/>
  <c r="R37" i="1"/>
  <c r="S37" i="1"/>
  <c r="T37" i="1"/>
  <c r="U37" i="1"/>
  <c r="V37" i="1"/>
  <c r="W37" i="1"/>
  <c r="X37" i="1"/>
  <c r="Y37" i="1"/>
  <c r="U60" i="1"/>
  <c r="Y58" i="1"/>
  <c r="X58" i="1"/>
  <c r="W58" i="1"/>
  <c r="V58" i="1"/>
  <c r="T58" i="1"/>
  <c r="S58" i="1"/>
  <c r="R58" i="1"/>
  <c r="U55" i="1"/>
  <c r="U58" i="1" s="1"/>
  <c r="R50" i="1"/>
  <c r="X43" i="1"/>
  <c r="W43" i="1"/>
  <c r="V43" i="1"/>
  <c r="Y34" i="1"/>
  <c r="X34" i="1"/>
  <c r="W34" i="1"/>
  <c r="V34" i="1"/>
  <c r="U34" i="1"/>
  <c r="T34" i="1"/>
  <c r="S34" i="1"/>
  <c r="R34" i="1"/>
  <c r="U25" i="1"/>
  <c r="T25" i="1"/>
  <c r="S25" i="1"/>
  <c r="R25" i="1"/>
  <c r="B22" i="1"/>
  <c r="B10" i="1" l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P11" i="1"/>
  <c r="Q11" i="1"/>
  <c r="C10" i="1"/>
  <c r="D10" i="1"/>
  <c r="E10" i="1"/>
  <c r="F10" i="1"/>
  <c r="G10" i="1"/>
  <c r="H10" i="1"/>
  <c r="I10" i="1"/>
  <c r="J10" i="1"/>
  <c r="K10" i="1"/>
  <c r="N10" i="1"/>
  <c r="N11" i="1" s="1"/>
  <c r="O10" i="1"/>
  <c r="P10" i="1"/>
  <c r="Q10" i="1"/>
  <c r="R11" i="1" s="1"/>
  <c r="O11" i="1" l="1"/>
  <c r="C11" i="1"/>
  <c r="G11" i="1"/>
  <c r="K11" i="1"/>
  <c r="J11" i="1"/>
  <c r="I11" i="1"/>
  <c r="H11" i="1"/>
  <c r="F11" i="1"/>
  <c r="E11" i="1"/>
  <c r="D11" i="1"/>
  <c r="B37" i="1"/>
  <c r="B34" i="1"/>
  <c r="I58" i="1" l="1"/>
  <c r="J58" i="1"/>
  <c r="K58" i="1"/>
  <c r="L58" i="1"/>
  <c r="J34" i="1" l="1"/>
  <c r="K34" i="1"/>
  <c r="L34" i="1"/>
  <c r="I30" i="1" l="1"/>
  <c r="J30" i="1"/>
  <c r="K30" i="1"/>
  <c r="L30" i="1"/>
  <c r="E58" i="1" l="1"/>
  <c r="C58" i="1"/>
  <c r="B55" i="1"/>
  <c r="B58" i="1" s="1"/>
  <c r="D54" i="1"/>
  <c r="C54" i="1"/>
  <c r="B54" i="1"/>
  <c r="E50" i="1"/>
  <c r="D50" i="1"/>
  <c r="C50" i="1"/>
  <c r="B50" i="1"/>
  <c r="E49" i="1"/>
  <c r="D48" i="1"/>
  <c r="C48" i="1"/>
  <c r="B48" i="1"/>
  <c r="D47" i="1"/>
  <c r="D46" i="1"/>
  <c r="C46" i="1"/>
  <c r="B46" i="1"/>
  <c r="E45" i="1"/>
  <c r="D45" i="1"/>
  <c r="E44" i="1"/>
  <c r="D44" i="1"/>
  <c r="C44" i="1"/>
  <c r="B44" i="1"/>
  <c r="D43" i="1"/>
  <c r="E42" i="1"/>
  <c r="D42" i="1"/>
  <c r="D41" i="1"/>
  <c r="D58" i="1" s="1"/>
  <c r="D30" i="1"/>
  <c r="C30" i="1"/>
  <c r="B30" i="1"/>
  <c r="C24" i="1"/>
  <c r="D49" i="1" l="1"/>
</calcChain>
</file>

<file path=xl/sharedStrings.xml><?xml version="1.0" encoding="utf-8"?>
<sst xmlns="http://schemas.openxmlformats.org/spreadsheetml/2006/main" count="78" uniqueCount="71">
  <si>
    <t xml:space="preserve">Belize: Major Economic Indicators </t>
  </si>
  <si>
    <t xml:space="preserve"> POPULATION AND EMPLOYMENT (At April)</t>
  </si>
  <si>
    <t xml:space="preserve">   Population (Thousands)</t>
  </si>
  <si>
    <t>n.a.</t>
  </si>
  <si>
    <t xml:space="preserve">   Employed Labour Force (Thousands)</t>
  </si>
  <si>
    <t xml:space="preserve"> INCOME</t>
  </si>
  <si>
    <t xml:space="preserve">   GDP at Current Market Prices ($mn)</t>
  </si>
  <si>
    <t xml:space="preserve">   Per Capita GDP ($, Current Market Prices)</t>
  </si>
  <si>
    <t xml:space="preserve">   Per Capita GDP (%)</t>
  </si>
  <si>
    <t xml:space="preserve">   Real GDP Growth (%)</t>
  </si>
  <si>
    <t xml:space="preserve">   Sectoral Distribution of Constant 2000 GDP (%)</t>
  </si>
  <si>
    <t xml:space="preserve">          Primary Activities</t>
  </si>
  <si>
    <t xml:space="preserve">          Secondary Activities</t>
  </si>
  <si>
    <t xml:space="preserve">          Services</t>
  </si>
  <si>
    <t xml:space="preserve"> MONEY AND PRICES ($mn)</t>
  </si>
  <si>
    <t xml:space="preserve">   Inflation (Annual average percentage change)</t>
  </si>
  <si>
    <t xml:space="preserve">   Currency and Demand deposits (M1)</t>
  </si>
  <si>
    <t xml:space="preserve">   Quasi-Money (Savings and Time deposits)</t>
  </si>
  <si>
    <t xml:space="preserve">   Annual Change of Money Supply (%)</t>
  </si>
  <si>
    <t xml:space="preserve">   Ratio of M2 to GDP (%)</t>
  </si>
  <si>
    <t xml:space="preserve"> CREDIT ($mn)</t>
  </si>
  <si>
    <t xml:space="preserve">   Domestic Banks' Loans and Advances</t>
  </si>
  <si>
    <t xml:space="preserve">   Public Sector</t>
  </si>
  <si>
    <t xml:space="preserve">   Private Sector</t>
  </si>
  <si>
    <t xml:space="preserve"> INTEREST RATE (%)</t>
  </si>
  <si>
    <t xml:space="preserve">   Weighted Average Lending Rate</t>
  </si>
  <si>
    <t xml:space="preserve">   Weighted Average Deposit Rate</t>
  </si>
  <si>
    <t xml:space="preserve">   Weighted Average Interest Rate Spread</t>
  </si>
  <si>
    <t xml:space="preserve"> CENTRAL GOVERNMENT FINANCES ($mn) </t>
  </si>
  <si>
    <t xml:space="preserve">   Current Revenue</t>
  </si>
  <si>
    <t xml:space="preserve">   Current Expenditure</t>
  </si>
  <si>
    <t xml:space="preserve">   Current Account Surplus(+)/Deficit(-)</t>
  </si>
  <si>
    <t xml:space="preserve">   Capital Expenditure</t>
  </si>
  <si>
    <t xml:space="preserve">   Overall Surplus(+)/Deficit(-)</t>
  </si>
  <si>
    <t xml:space="preserve">   Ratio of Budget Deficit to GDP at Market Prices (%)</t>
  </si>
  <si>
    <t xml:space="preserve">   External Financing (Net)</t>
  </si>
  <si>
    <t xml:space="preserve"> BALANCE OF PAYMENTS (US $mn) </t>
  </si>
  <si>
    <t xml:space="preserve">   Merchandise Imports (FOB)</t>
  </si>
  <si>
    <t xml:space="preserve">   Trade Balance</t>
  </si>
  <si>
    <t xml:space="preserve">   Remittances (Inflows)</t>
  </si>
  <si>
    <t xml:space="preserve">   Tourism (inflows)</t>
  </si>
  <si>
    <t xml:space="preserve">   Services (Net)</t>
  </si>
  <si>
    <t xml:space="preserve">   Current Account Balance</t>
  </si>
  <si>
    <t xml:space="preserve">   Capital and Financial Flows</t>
  </si>
  <si>
    <t xml:space="preserve">   Gross Change in Official International Reserves</t>
  </si>
  <si>
    <t xml:space="preserve">            Monthly Import Coverage </t>
  </si>
  <si>
    <t xml:space="preserve"> PUBLIC SECTOR DEBT</t>
  </si>
  <si>
    <t xml:space="preserve">   Disbursed Outstanding External Debt (US $mn)</t>
  </si>
  <si>
    <t xml:space="preserve">   Ratio of Outstanding Debt to GDP at Market Prices (%)</t>
  </si>
  <si>
    <t>Plus RMB Debt Service Pymts</t>
  </si>
  <si>
    <t>Less Refinancing, Reprofiling, Restructuring</t>
  </si>
  <si>
    <t xml:space="preserve">   External Debt Service Ratio (%)</t>
  </si>
  <si>
    <t xml:space="preserve">   Disbursed Outstanding Domestic Debt ($mn)</t>
  </si>
  <si>
    <t xml:space="preserve">   Domestic Debt Service Payments ($mn)</t>
  </si>
  <si>
    <r>
      <rPr>
        <i/>
        <sz val="9"/>
        <rFont val="Trebuchet MS"/>
        <family val="2"/>
      </rPr>
      <t>Sources</t>
    </r>
    <r>
      <rPr>
        <sz val="9"/>
        <rFont val="Trebuchet MS"/>
        <family val="2"/>
      </rPr>
      <t xml:space="preserve">: MOF, SIB and CBB                                 </t>
    </r>
  </si>
  <si>
    <r>
      <rPr>
        <vertAlign val="superscript"/>
        <sz val="9"/>
        <rFont val="Trebuchet MS"/>
        <family val="2"/>
      </rPr>
      <t>P -</t>
    </r>
    <r>
      <rPr>
        <sz val="9"/>
        <rFont val="Trebuchet MS"/>
        <family val="2"/>
      </rPr>
      <t xml:space="preserve"> Provisional</t>
    </r>
  </si>
  <si>
    <r>
      <rPr>
        <vertAlign val="superscript"/>
        <sz val="9"/>
        <rFont val="Trebuchet MS"/>
        <family val="2"/>
      </rPr>
      <t>R -</t>
    </r>
    <r>
      <rPr>
        <sz val="9"/>
        <rFont val="Trebuchet MS"/>
        <family val="2"/>
      </rPr>
      <t xml:space="preserve"> Revised</t>
    </r>
  </si>
  <si>
    <t>n.a. not available</t>
  </si>
  <si>
    <r>
      <t xml:space="preserve">   Unemployment Rate (%)</t>
    </r>
    <r>
      <rPr>
        <vertAlign val="superscript"/>
        <sz val="10"/>
        <rFont val="Trebuchet MS"/>
        <family val="2"/>
      </rPr>
      <t>(1)</t>
    </r>
  </si>
  <si>
    <r>
      <t xml:space="preserve">   Domestic Financing (Net)</t>
    </r>
    <r>
      <rPr>
        <vertAlign val="superscript"/>
        <sz val="10"/>
        <rFont val="Trebuchet MS"/>
        <family val="2"/>
      </rPr>
      <t>(2)</t>
    </r>
  </si>
  <si>
    <r>
      <t xml:space="preserve">   Merchandise Exports (FOB)</t>
    </r>
    <r>
      <rPr>
        <vertAlign val="superscript"/>
        <sz val="10"/>
        <color theme="1"/>
        <rFont val="Trebuchet MS"/>
        <family val="2"/>
      </rPr>
      <t>(3)</t>
    </r>
  </si>
  <si>
    <r>
      <rPr>
        <vertAlign val="superscript"/>
        <sz val="9"/>
        <rFont val="Trebuchet MS"/>
        <family val="2"/>
      </rPr>
      <t>(2)</t>
    </r>
    <r>
      <rPr>
        <sz val="9"/>
        <rFont val="Trebuchet MS"/>
        <family val="2"/>
      </rPr>
      <t xml:space="preserve"> A total of $135.3mn (2015), $196.5mn (2016), $208.3mn (2017) and $166.7mn (2023) were deducted as payment for the acquisition of shares in the utility companies and Port of Belize Ltd (2023). </t>
    </r>
  </si>
  <si>
    <r>
      <rPr>
        <vertAlign val="superscript"/>
        <sz val="9"/>
        <rFont val="Trebuchet MS"/>
        <family val="2"/>
      </rPr>
      <t>(3)</t>
    </r>
    <r>
      <rPr>
        <sz val="9"/>
        <rFont val="Trebuchet MS"/>
        <family val="2"/>
      </rPr>
      <t xml:space="preserve"> Includes CFZ gross sales.</t>
    </r>
  </si>
  <si>
    <r>
      <rPr>
        <vertAlign val="superscript"/>
        <sz val="9"/>
        <rFont val="Trebuchet MS"/>
        <family val="2"/>
      </rPr>
      <t>(4)</t>
    </r>
    <r>
      <rPr>
        <sz val="9"/>
        <rFont val="Trebuchet MS"/>
        <family val="2"/>
      </rPr>
      <t xml:space="preserve"> Starting in 2005, these numbers have been revised to reflect only usuable reserves as defined by BPM5.</t>
    </r>
  </si>
  <si>
    <r>
      <t xml:space="preserve">   External Debt Service Payments (US $mn)</t>
    </r>
    <r>
      <rPr>
        <vertAlign val="superscript"/>
        <sz val="10"/>
        <color theme="1"/>
        <rFont val="Trebuchet MS"/>
        <family val="2"/>
      </rPr>
      <t>(5)</t>
    </r>
  </si>
  <si>
    <r>
      <t xml:space="preserve">   Gross Official International Reserves</t>
    </r>
    <r>
      <rPr>
        <vertAlign val="superscript"/>
        <sz val="10"/>
        <color theme="1"/>
        <rFont val="Trebuchet MS"/>
        <family val="2"/>
      </rPr>
      <t>(4)</t>
    </r>
  </si>
  <si>
    <r>
      <rPr>
        <vertAlign val="superscript"/>
        <sz val="9"/>
        <rFont val="Trebuchet MS"/>
        <family val="2"/>
      </rPr>
      <t>(1)</t>
    </r>
    <r>
      <rPr>
        <sz val="9"/>
        <rFont val="Trebuchet MS"/>
        <family val="2"/>
      </rPr>
      <t xml:space="preserve"> The unemployment rate from 2020 onwards was measured using a revised methodology</t>
    </r>
  </si>
  <si>
    <r>
      <rPr>
        <vertAlign val="superscript"/>
        <sz val="9"/>
        <rFont val="Trebuchet MS"/>
        <family val="2"/>
      </rPr>
      <t>(5)</t>
    </r>
    <r>
      <rPr>
        <sz val="9"/>
        <rFont val="Trebuchet MS"/>
        <family val="2"/>
      </rPr>
      <t xml:space="preserve"> Reflects actual 2013 debt service payment which excludes the $107.9mn haircut on the then (2013 debt exchange) restructured 2038 bond. Debt service payments for 2021, include the US $552.9mn paid to external bondholders to repurchase and retire the 2034 US Dollar Bond.</t>
    </r>
  </si>
  <si>
    <r>
      <t>2023</t>
    </r>
    <r>
      <rPr>
        <b/>
        <vertAlign val="superscript"/>
        <sz val="10"/>
        <rFont val="Trebuchet MS"/>
        <family val="2"/>
      </rPr>
      <t>R</t>
    </r>
  </si>
  <si>
    <r>
      <t>2024</t>
    </r>
    <r>
      <rPr>
        <b/>
        <vertAlign val="superscript"/>
        <sz val="10"/>
        <rFont val="Trebuchet MS"/>
        <family val="2"/>
      </rPr>
      <t>P</t>
    </r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</si>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</sst>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#,##0.0;\-#,##0.0"/>
    <numFmt numFmtId="168" formatCode="_-* #,##0.0_-;\-* #,##0.0_-;_-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1"/>
      <name val="Californian FB"/>
      <family val="1"/>
    </font>
    <font>
      <sz val="10"/>
      <name val="Californian FB"/>
      <family val="1"/>
    </font>
    <font>
      <sz val="10"/>
      <name val="Trebuchet MS"/>
      <family val="2"/>
    </font>
    <font>
      <b/>
      <sz val="10"/>
      <color indexed="9"/>
      <name val="Trebuchet MS"/>
      <family val="2"/>
    </font>
    <font>
      <b/>
      <sz val="10"/>
      <color theme="1"/>
      <name val="Trebuchet MS"/>
      <family val="2"/>
    </font>
    <font>
      <vertAlign val="superscript"/>
      <sz val="10"/>
      <color theme="1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vertAlign val="superscript"/>
      <sz val="10"/>
      <name val="Trebuchet MS"/>
      <family val="2"/>
    </font>
    <font>
      <b/>
      <sz val="11"/>
      <name val="arial"/>
      <family val="2"/>
    </font>
    <font>
      <sz val="11"/>
      <name val="Trebuchet MS"/>
      <family val="2"/>
    </font>
    <font>
      <sz val="9"/>
      <name val="Arial"/>
      <family val="2"/>
    </font>
    <font>
      <sz val="9"/>
      <name val="Trebuchet MS"/>
      <family val="2"/>
    </font>
    <font>
      <vertAlign val="superscript"/>
      <sz val="9"/>
      <name val="Trebuchet MS"/>
      <family val="2"/>
    </font>
    <font>
      <b/>
      <sz val="9"/>
      <name val="Trebuchet MS"/>
      <family val="2"/>
    </font>
    <font>
      <i/>
      <sz val="9"/>
      <name val="Trebuchet MS"/>
      <family val="2"/>
    </font>
    <font>
      <sz val="10"/>
      <name val="Courier"/>
    </font>
    <font>
      <sz val="10"/>
      <color theme="1"/>
      <name val="Trebuchet MS"/>
      <family val="2"/>
    </font>
    <font>
      <b/>
      <i/>
      <sz val="11"/>
      <color theme="1"/>
      <name val="Calibri"/>
      <family val="2"/>
      <scheme val="minor"/>
    </font>
    <font>
      <b/>
      <vertAlign val="superscript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9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37" fontId="23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0" applyFont="1"/>
    <xf numFmtId="164" fontId="9" fillId="0" borderId="0" xfId="1" applyNumberFormat="1" applyFont="1" applyFill="1"/>
    <xf numFmtId="164" fontId="9" fillId="0" borderId="0" xfId="1" applyNumberFormat="1" applyFont="1" applyFill="1" applyBorder="1"/>
    <xf numFmtId="0" fontId="13" fillId="0" borderId="0" xfId="0" applyFont="1"/>
    <xf numFmtId="43" fontId="0" fillId="0" borderId="0" xfId="0" applyNumberFormat="1"/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0" fontId="10" fillId="0" borderId="1" xfId="0" applyFont="1" applyBorder="1"/>
    <xf numFmtId="164" fontId="9" fillId="0" borderId="0" xfId="1" applyNumberFormat="1" applyFont="1" applyFill="1" applyBorder="1" applyAlignment="1">
      <alignment horizontal="right"/>
    </xf>
    <xf numFmtId="165" fontId="0" fillId="0" borderId="0" xfId="0" applyNumberFormat="1"/>
    <xf numFmtId="166" fontId="9" fillId="0" borderId="0" xfId="1" applyNumberFormat="1" applyFont="1" applyFill="1"/>
    <xf numFmtId="0" fontId="9" fillId="0" borderId="2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indent="1"/>
    </xf>
    <xf numFmtId="165" fontId="19" fillId="0" borderId="0" xfId="0" applyNumberFormat="1" applyFont="1"/>
    <xf numFmtId="0" fontId="21" fillId="0" borderId="0" xfId="0" applyFont="1"/>
    <xf numFmtId="0" fontId="8" fillId="0" borderId="0" xfId="0" applyFont="1"/>
    <xf numFmtId="0" fontId="17" fillId="0" borderId="0" xfId="0" applyFont="1"/>
    <xf numFmtId="0" fontId="7" fillId="0" borderId="0" xfId="0" applyFont="1"/>
    <xf numFmtId="164" fontId="9" fillId="0" borderId="0" xfId="1" applyNumberFormat="1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9" fillId="0" borderId="0" xfId="7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167" fontId="2" fillId="0" borderId="0" xfId="10" applyNumberFormat="1" applyFont="1"/>
    <xf numFmtId="0" fontId="0" fillId="2" borderId="0" xfId="0" applyFill="1"/>
    <xf numFmtId="164" fontId="9" fillId="3" borderId="0" xfId="4" applyNumberFormat="1" applyFont="1" applyFill="1" applyAlignment="1">
      <alignment horizontal="right"/>
    </xf>
    <xf numFmtId="165" fontId="9" fillId="3" borderId="0" xfId="0" applyNumberFormat="1" applyFont="1" applyFill="1"/>
    <xf numFmtId="0" fontId="9" fillId="3" borderId="0" xfId="0" applyFont="1" applyFill="1"/>
    <xf numFmtId="0" fontId="0" fillId="3" borderId="0" xfId="0" applyFill="1"/>
    <xf numFmtId="164" fontId="24" fillId="3" borderId="0" xfId="1" applyNumberFormat="1" applyFont="1" applyFill="1"/>
    <xf numFmtId="164" fontId="9" fillId="3" borderId="0" xfId="0" applyNumberFormat="1" applyFont="1" applyFill="1"/>
    <xf numFmtId="0" fontId="2" fillId="3" borderId="0" xfId="8" applyFill="1"/>
    <xf numFmtId="164" fontId="9" fillId="3" borderId="0" xfId="8" applyNumberFormat="1" applyFont="1" applyFill="1"/>
    <xf numFmtId="164" fontId="9" fillId="0" borderId="0" xfId="8" applyNumberFormat="1" applyFont="1"/>
    <xf numFmtId="165" fontId="9" fillId="0" borderId="0" xfId="0" applyNumberFormat="1" applyFont="1"/>
    <xf numFmtId="43" fontId="9" fillId="3" borderId="0" xfId="0" applyNumberFormat="1" applyFont="1" applyFill="1"/>
    <xf numFmtId="164" fontId="9" fillId="3" borderId="0" xfId="1" applyNumberFormat="1" applyFont="1" applyFill="1"/>
    <xf numFmtId="164" fontId="9" fillId="3" borderId="0" xfId="1" applyNumberFormat="1" applyFont="1" applyFill="1" applyAlignment="1">
      <alignment horizontal="right"/>
    </xf>
    <xf numFmtId="164" fontId="24" fillId="3" borderId="0" xfId="1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24" fillId="3" borderId="2" xfId="1" applyNumberFormat="1" applyFont="1" applyFill="1" applyBorder="1"/>
    <xf numFmtId="164" fontId="9" fillId="3" borderId="2" xfId="1" applyNumberFormat="1" applyFont="1" applyFill="1" applyBorder="1"/>
    <xf numFmtId="164" fontId="9" fillId="3" borderId="2" xfId="1" applyNumberFormat="1" applyFont="1" applyFill="1" applyBorder="1" applyAlignment="1">
      <alignment horizontal="right"/>
    </xf>
    <xf numFmtId="165" fontId="16" fillId="0" borderId="2" xfId="0" applyNumberFormat="1" applyFont="1" applyBorder="1" applyAlignment="1">
      <alignment vertical="center"/>
    </xf>
    <xf numFmtId="165" fontId="25" fillId="0" borderId="0" xfId="11" applyNumberFormat="1" applyFont="1" applyAlignment="1">
      <alignment horizontal="right"/>
    </xf>
    <xf numFmtId="168" fontId="25" fillId="0" borderId="0" xfId="11" applyNumberFormat="1" applyFont="1"/>
    <xf numFmtId="17" fontId="13" fillId="3" borderId="3" xfId="0" applyNumberFormat="1" applyFont="1" applyFill="1" applyBorder="1" applyAlignment="1">
      <alignment horizontal="right" vertical="center"/>
    </xf>
  </cellXfs>
  <cellStyles count="13">
    <cellStyle name="Comma" xfId="1" builtinId="3"/>
    <cellStyle name="Comma 2" xfId="3" xr:uid="{00000000-0005-0000-0000-000001000000}"/>
    <cellStyle name="Comma 3" xfId="12" xr:uid="{F5FE0028-524C-4667-87A5-9E1DA397F75D}"/>
    <cellStyle name="Normal" xfId="0" builtinId="0"/>
    <cellStyle name="Normal 2" xfId="2" xr:uid="{00000000-0005-0000-0000-000003000000}"/>
    <cellStyle name="Normal 3" xfId="5" xr:uid="{00000000-0005-0000-0000-000004000000}"/>
    <cellStyle name="Normal 4" xfId="4" xr:uid="{00000000-0005-0000-0000-000005000000}"/>
    <cellStyle name="Normal 5" xfId="6" xr:uid="{00000000-0005-0000-0000-000006000000}"/>
    <cellStyle name="Normal 6" xfId="8" xr:uid="{00000000-0005-0000-0000-000007000000}"/>
    <cellStyle name="Normal 7" xfId="10" xr:uid="{D9E1DDD6-495C-4F71-8901-6EF32A3F8560}"/>
    <cellStyle name="Normal 8" xfId="11" xr:uid="{4696CE8E-0F30-4873-9F66-122BF8C8D1C1}"/>
    <cellStyle name="Percent" xfId="7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7"/>
  <sheetViews>
    <sheetView showGridLines="0" tabSelected="1" zoomScaleNormal="100" workbookViewId="0">
      <pane xSplit="1" ySplit="3" topLeftCell="F46" activePane="bottomRight" state="frozen"/>
      <selection pane="topRight" activeCell="B1" sqref="B1"/>
      <selection pane="bottomLeft" activeCell="A4" sqref="A4"/>
      <selection pane="bottomRight" activeCell="Z53" sqref="Z53"/>
    </sheetView>
  </sheetViews>
  <sheetFormatPr defaultRowHeight="16.5" x14ac:dyDescent="0.3"/>
  <cols>
    <col min="1" max="1" width="50.5703125" customWidth="1"/>
    <col min="2" max="7" width="9" customWidth="1"/>
    <col min="8" max="8" width="9" style="22" customWidth="1"/>
    <col min="9" max="17" width="9" customWidth="1"/>
    <col min="18" max="18" width="9" style="37" customWidth="1"/>
    <col min="19" max="22" width="9" customWidth="1"/>
    <col min="23" max="23" width="8.5703125" customWidth="1"/>
    <col min="24" max="25" width="8.85546875" customWidth="1"/>
    <col min="26" max="27" width="11.85546875" bestFit="1" customWidth="1"/>
  </cols>
  <sheetData>
    <row r="1" spans="1:31" ht="12.7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1" ht="12.75" customHeight="1" x14ac:dyDescent="0.2">
      <c r="A2" s="7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31" ht="16.5" customHeight="1" x14ac:dyDescent="0.3">
      <c r="A3" s="10"/>
      <c r="B3" s="8">
        <v>2001</v>
      </c>
      <c r="C3" s="8">
        <v>2002</v>
      </c>
      <c r="D3" s="8">
        <v>2003</v>
      </c>
      <c r="E3" s="8">
        <v>2004</v>
      </c>
      <c r="F3" s="8">
        <v>2005</v>
      </c>
      <c r="G3" s="8">
        <v>2006</v>
      </c>
      <c r="H3" s="8">
        <v>2007</v>
      </c>
      <c r="I3" s="8">
        <v>2008</v>
      </c>
      <c r="J3" s="8">
        <v>2009</v>
      </c>
      <c r="K3" s="8">
        <v>2010</v>
      </c>
      <c r="L3" s="8">
        <v>2011</v>
      </c>
      <c r="M3" s="8">
        <v>2012</v>
      </c>
      <c r="N3" s="8">
        <v>2013</v>
      </c>
      <c r="O3" s="8">
        <v>2014</v>
      </c>
      <c r="P3" s="8">
        <v>2015</v>
      </c>
      <c r="Q3" s="8">
        <v>2016</v>
      </c>
      <c r="R3" s="8">
        <v>2017</v>
      </c>
      <c r="S3" s="9">
        <v>2018</v>
      </c>
      <c r="T3" s="9">
        <v>2019</v>
      </c>
      <c r="U3" s="8">
        <v>2020</v>
      </c>
      <c r="V3" s="9">
        <v>2021</v>
      </c>
      <c r="W3" s="9">
        <v>2022</v>
      </c>
      <c r="X3" s="59" t="s">
        <v>68</v>
      </c>
      <c r="Y3" s="59" t="s">
        <v>69</v>
      </c>
    </row>
    <row r="4" spans="1:31" ht="15" x14ac:dyDescent="0.3">
      <c r="A4" s="4" t="s">
        <v>1</v>
      </c>
      <c r="B4" s="2"/>
      <c r="C4" s="2"/>
      <c r="D4" s="2"/>
      <c r="E4" s="2"/>
      <c r="F4" s="3"/>
      <c r="G4" s="3"/>
      <c r="H4" s="3"/>
      <c r="I4" s="1"/>
      <c r="J4" s="3"/>
      <c r="K4" s="3"/>
      <c r="L4" s="1"/>
      <c r="M4" s="1"/>
      <c r="N4" s="4"/>
      <c r="O4" s="2"/>
      <c r="P4" s="2"/>
      <c r="Q4" s="1"/>
      <c r="R4" s="1"/>
      <c r="S4" s="1"/>
      <c r="T4" s="1"/>
      <c r="U4" s="1"/>
    </row>
    <row r="5" spans="1:31" ht="15" x14ac:dyDescent="0.3">
      <c r="A5" s="1" t="s">
        <v>2</v>
      </c>
      <c r="B5" s="24">
        <v>256.089</v>
      </c>
      <c r="C5" s="24">
        <v>262.62299999999999</v>
      </c>
      <c r="D5" s="24">
        <v>269.37900000000002</v>
      </c>
      <c r="E5" s="24">
        <v>276.38099999999997</v>
      </c>
      <c r="F5" s="11">
        <v>283.601</v>
      </c>
      <c r="G5" s="11">
        <v>291.07</v>
      </c>
      <c r="H5" s="11">
        <v>298.79199999999997</v>
      </c>
      <c r="I5" s="11">
        <v>306.80900000000003</v>
      </c>
      <c r="J5" s="11">
        <v>315.08199999999999</v>
      </c>
      <c r="K5" s="11">
        <v>323.59800000000001</v>
      </c>
      <c r="L5" s="11">
        <v>328.375</v>
      </c>
      <c r="M5" s="11">
        <v>334.15800000000002</v>
      </c>
      <c r="N5" s="25">
        <v>341.65499999999997</v>
      </c>
      <c r="O5" s="24">
        <v>349.16899999999998</v>
      </c>
      <c r="P5" s="24">
        <v>356.70499999999998</v>
      </c>
      <c r="Q5" s="11">
        <v>364.11799999999999</v>
      </c>
      <c r="R5" s="11">
        <v>371.35199999999998</v>
      </c>
      <c r="S5" s="11">
        <v>378.77</v>
      </c>
      <c r="T5" s="11">
        <v>386.12099999999998</v>
      </c>
      <c r="U5" s="11">
        <v>392.99700000000001</v>
      </c>
      <c r="V5" s="11">
        <v>399.37299999999999</v>
      </c>
      <c r="W5" s="11">
        <v>397.48399999999998</v>
      </c>
      <c r="X5" s="11">
        <v>404.19799999999998</v>
      </c>
      <c r="Y5" s="11">
        <v>410.91899999999998</v>
      </c>
    </row>
    <row r="6" spans="1:31" ht="15" x14ac:dyDescent="0.3">
      <c r="A6" s="1" t="s">
        <v>4</v>
      </c>
      <c r="B6" s="24">
        <v>85.9</v>
      </c>
      <c r="C6" s="24">
        <v>84.7</v>
      </c>
      <c r="D6" s="24">
        <v>89.2</v>
      </c>
      <c r="E6" s="24">
        <v>95.911000000000001</v>
      </c>
      <c r="F6" s="11">
        <v>98.588999999999999</v>
      </c>
      <c r="G6" s="11">
        <v>102.233</v>
      </c>
      <c r="H6" s="11">
        <v>111.83499999999999</v>
      </c>
      <c r="I6" s="11">
        <v>114.46452442391623</v>
      </c>
      <c r="J6" s="11">
        <v>120.511</v>
      </c>
      <c r="K6" s="11">
        <v>100.71</v>
      </c>
      <c r="L6" s="11" t="s">
        <v>3</v>
      </c>
      <c r="M6" s="11">
        <v>126.72199999999999</v>
      </c>
      <c r="N6" s="25">
        <v>131.38</v>
      </c>
      <c r="O6" s="24">
        <v>134.554130045016</v>
      </c>
      <c r="P6" s="24">
        <v>139.31004010390799</v>
      </c>
      <c r="Q6" s="11">
        <v>145.61015282615099</v>
      </c>
      <c r="R6" s="11">
        <v>150.052763111144</v>
      </c>
      <c r="S6" s="11">
        <v>155.94984334581201</v>
      </c>
      <c r="T6" s="11">
        <v>167.65024300172701</v>
      </c>
      <c r="U6" s="11">
        <v>134.94300000000001</v>
      </c>
      <c r="V6" s="11">
        <v>154.67099999999999</v>
      </c>
      <c r="W6" s="11">
        <v>162.42688354026399</v>
      </c>
      <c r="X6" s="11">
        <v>164.83</v>
      </c>
      <c r="Y6" s="11">
        <v>164.28299999999999</v>
      </c>
      <c r="Z6" s="12"/>
      <c r="AA6" s="12"/>
    </row>
    <row r="7" spans="1:31" ht="17.25" x14ac:dyDescent="0.3">
      <c r="A7" s="1" t="s">
        <v>58</v>
      </c>
      <c r="B7" s="24">
        <v>9.1</v>
      </c>
      <c r="C7" s="24">
        <v>10</v>
      </c>
      <c r="D7" s="24">
        <v>12.9</v>
      </c>
      <c r="E7" s="24">
        <v>11.6</v>
      </c>
      <c r="F7" s="11">
        <v>11</v>
      </c>
      <c r="G7" s="11">
        <v>9.3718419233019521</v>
      </c>
      <c r="H7" s="11">
        <v>8.5396463205932687</v>
      </c>
      <c r="I7" s="11">
        <v>8.1999999999999993</v>
      </c>
      <c r="J7" s="11">
        <v>13.053735822919974</v>
      </c>
      <c r="K7" s="11">
        <v>23.3</v>
      </c>
      <c r="L7" s="11" t="s">
        <v>3</v>
      </c>
      <c r="M7" s="11">
        <v>14.4307968641327</v>
      </c>
      <c r="N7" s="25">
        <v>11.6802796544654</v>
      </c>
      <c r="O7" s="24">
        <v>11.567143301561</v>
      </c>
      <c r="P7" s="24">
        <v>10.1430645853934</v>
      </c>
      <c r="Q7" s="11">
        <v>9.5190705621748908</v>
      </c>
      <c r="R7" s="11">
        <v>9.3281657928515198</v>
      </c>
      <c r="S7" s="11">
        <v>9.3768194276317693</v>
      </c>
      <c r="T7" s="11">
        <v>9</v>
      </c>
      <c r="U7" s="11">
        <v>13.8</v>
      </c>
      <c r="V7" s="11">
        <v>10.3</v>
      </c>
      <c r="W7" s="11">
        <v>5.0999999999999996</v>
      </c>
      <c r="X7" s="11">
        <v>3.3</v>
      </c>
      <c r="Y7" s="11">
        <v>2.5</v>
      </c>
    </row>
    <row r="8" spans="1:31" ht="15.75" x14ac:dyDescent="0.3">
      <c r="A8" s="4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  <c r="R8" s="58"/>
      <c r="S8" s="58"/>
      <c r="T8" s="58"/>
      <c r="U8" s="58"/>
      <c r="V8" s="58"/>
      <c r="W8" s="58"/>
      <c r="X8" s="58"/>
      <c r="Y8" s="11"/>
    </row>
    <row r="9" spans="1:31" ht="15" x14ac:dyDescent="0.3">
      <c r="A9" s="1" t="s">
        <v>6</v>
      </c>
      <c r="B9" s="24">
        <v>2344.0902604655284</v>
      </c>
      <c r="C9" s="24">
        <v>2487.8240607881748</v>
      </c>
      <c r="D9" s="24">
        <v>2616.5605332201503</v>
      </c>
      <c r="E9" s="24">
        <v>2800.4040013450458</v>
      </c>
      <c r="F9" s="11">
        <v>2948.5967529341374</v>
      </c>
      <c r="G9" s="11">
        <v>3180.926215487611</v>
      </c>
      <c r="H9" s="11">
        <v>3412.3808566716484</v>
      </c>
      <c r="I9" s="11">
        <v>3476.9071843041265</v>
      </c>
      <c r="J9" s="11">
        <v>3376.0254755316578</v>
      </c>
      <c r="K9" s="11">
        <v>3497.9767862095614</v>
      </c>
      <c r="L9" s="11">
        <v>3663.1534484106578</v>
      </c>
      <c r="M9" s="11">
        <v>3834.1669932512468</v>
      </c>
      <c r="N9" s="11">
        <v>4070.3829397376344</v>
      </c>
      <c r="O9" s="24">
        <v>4276.4843998764372</v>
      </c>
      <c r="P9" s="24">
        <v>4386.1903217793688</v>
      </c>
      <c r="Q9" s="11">
        <v>4479.2099154127081</v>
      </c>
      <c r="R9" s="11">
        <v>4532.0565134361514</v>
      </c>
      <c r="S9" s="11">
        <v>4571.8301011379608</v>
      </c>
      <c r="T9" s="11">
        <v>4762.3757229720868</v>
      </c>
      <c r="U9" s="11">
        <v>4094.5692059116441</v>
      </c>
      <c r="V9" s="11">
        <v>4857.2124904829107</v>
      </c>
      <c r="W9" s="11">
        <v>5693.2087497596658</v>
      </c>
      <c r="X9" s="11">
        <v>6104.7252554103743</v>
      </c>
      <c r="Y9" s="11">
        <v>6407.2635784602844</v>
      </c>
    </row>
    <row r="10" spans="1:31" ht="15" x14ac:dyDescent="0.3">
      <c r="A10" s="1" t="s">
        <v>7</v>
      </c>
      <c r="B10" s="24">
        <f>+B9/B5*1000</f>
        <v>9153.4203361547297</v>
      </c>
      <c r="C10" s="24">
        <f t="shared" ref="C10:Q10" si="0">+C9/C5*1000</f>
        <v>9472.986222791511</v>
      </c>
      <c r="D10" s="24">
        <f t="shared" si="0"/>
        <v>9713.3055405957784</v>
      </c>
      <c r="E10" s="24">
        <f t="shared" si="0"/>
        <v>10132.404186051306</v>
      </c>
      <c r="F10" s="24">
        <f t="shared" si="0"/>
        <v>10396.989971594377</v>
      </c>
      <c r="G10" s="24">
        <f t="shared" si="0"/>
        <v>10928.389100517439</v>
      </c>
      <c r="H10" s="24">
        <f t="shared" si="0"/>
        <v>11420.589763687276</v>
      </c>
      <c r="I10" s="24">
        <f t="shared" si="0"/>
        <v>11332.481069017291</v>
      </c>
      <c r="J10" s="24">
        <f t="shared" si="0"/>
        <v>10714.751955147098</v>
      </c>
      <c r="K10" s="24">
        <f t="shared" si="0"/>
        <v>10809.636605323769</v>
      </c>
      <c r="L10" s="24" t="s">
        <v>3</v>
      </c>
      <c r="M10" s="24">
        <f>+M9/M5*1000</f>
        <v>11474.114021664143</v>
      </c>
      <c r="N10" s="24">
        <f t="shared" si="0"/>
        <v>11913.722731227801</v>
      </c>
      <c r="O10" s="24">
        <f t="shared" si="0"/>
        <v>12247.606173160955</v>
      </c>
      <c r="P10" s="24">
        <f t="shared" si="0"/>
        <v>12296.408297555035</v>
      </c>
      <c r="Q10" s="24">
        <f t="shared" si="0"/>
        <v>12301.533885753268</v>
      </c>
      <c r="R10" s="24">
        <v>12205.719662984948</v>
      </c>
      <c r="S10" s="24">
        <v>12109.016994313237</v>
      </c>
      <c r="T10" s="24">
        <v>12370.833084240801</v>
      </c>
      <c r="U10" s="24">
        <v>10396.188134239987</v>
      </c>
      <c r="V10" s="24">
        <v>12121.763965847802</v>
      </c>
      <c r="W10" s="24">
        <v>14323.596409890124</v>
      </c>
      <c r="X10" s="11">
        <v>15174.891898160722</v>
      </c>
      <c r="Y10" s="11">
        <v>16609.93986450852</v>
      </c>
      <c r="Z10" s="13"/>
      <c r="AA10" s="13"/>
      <c r="AB10" s="13"/>
    </row>
    <row r="11" spans="1:31" ht="15" x14ac:dyDescent="0.3">
      <c r="A11" s="1" t="s">
        <v>8</v>
      </c>
      <c r="B11" s="11" t="s">
        <v>3</v>
      </c>
      <c r="C11" s="11">
        <f>(C10/B10-1)*100</f>
        <v>3.4912183085763049</v>
      </c>
      <c r="D11" s="11">
        <f t="shared" ref="D11" si="1">(D10/C10-1)*100</f>
        <v>2.5368908193497797</v>
      </c>
      <c r="E11" s="11">
        <f t="shared" ref="E11" si="2">(E10/D10-1)*100</f>
        <v>4.3146861148755988</v>
      </c>
      <c r="F11" s="11">
        <f t="shared" ref="F11" si="3">(F10/E10-1)*100</f>
        <v>2.6112833705085547</v>
      </c>
      <c r="G11" s="11">
        <f t="shared" ref="G11" si="4">(G10/F10-1)*100</f>
        <v>5.1110862891557751</v>
      </c>
      <c r="H11" s="11">
        <f t="shared" ref="H11" si="5">(H10/G10-1)*100</f>
        <v>4.5038720587513792</v>
      </c>
      <c r="I11" s="11">
        <f t="shared" ref="I11" si="6">(I10/H10-1)*100</f>
        <v>-0.77148988356218196</v>
      </c>
      <c r="J11" s="11">
        <f t="shared" ref="J11" si="7">(J10/I10-1)*100</f>
        <v>-5.4509609158672978</v>
      </c>
      <c r="K11" s="11">
        <f t="shared" ref="K11" si="8">(K10/J10-1)*100</f>
        <v>0.88555153282003918</v>
      </c>
      <c r="L11" s="11" t="s">
        <v>3</v>
      </c>
      <c r="M11" s="11" t="s">
        <v>70</v>
      </c>
      <c r="N11" s="11">
        <f>(N10/M10-1)*100</f>
        <v>3.8313085326992402</v>
      </c>
      <c r="O11" s="11">
        <f t="shared" ref="O11" si="9">(O10/N10-1)*100</f>
        <v>2.8025114354725655</v>
      </c>
      <c r="P11" s="11">
        <f t="shared" ref="P11" si="10">(P10/O10-1)*100</f>
        <v>0.398462554266521</v>
      </c>
      <c r="Q11" s="11">
        <f t="shared" ref="Q11" si="11">(Q10/P10-1)*100</f>
        <v>4.1683620730537108E-2</v>
      </c>
      <c r="R11" s="11">
        <f t="shared" ref="R11" si="12">(R10/Q10-1)*100</f>
        <v>-0.77888028971155876</v>
      </c>
      <c r="S11" s="11">
        <f t="shared" ref="S11" si="13">(S10/R10-1)*100</f>
        <v>-0.79227338773780742</v>
      </c>
      <c r="T11" s="11">
        <f t="shared" ref="T11" si="14">(T10/S10-1)*100</f>
        <v>2.1621580847604793</v>
      </c>
      <c r="U11" s="11">
        <f t="shared" ref="U11" si="15">(U10/T10-1)*100</f>
        <v>-15.962101634984583</v>
      </c>
      <c r="V11" s="11">
        <f t="shared" ref="V11" si="16">(V10/U10-1)*100</f>
        <v>16.598158953324528</v>
      </c>
      <c r="W11" s="11">
        <f t="shared" ref="W11" si="17">(W10/V10-1)*100</f>
        <v>18.164290694372752</v>
      </c>
      <c r="X11" s="11">
        <f t="shared" ref="X11" si="18">(X10/W10-1)*100</f>
        <v>5.9433082579930741</v>
      </c>
      <c r="Y11" s="11">
        <f t="shared" ref="Y11" si="19">(Y10/X10-1)*100</f>
        <v>9.4567261235102062</v>
      </c>
      <c r="AC11" s="3"/>
      <c r="AD11" s="3"/>
      <c r="AE11" s="3"/>
    </row>
    <row r="12" spans="1:31" ht="15" x14ac:dyDescent="0.3">
      <c r="A12" s="1" t="s">
        <v>9</v>
      </c>
      <c r="B12" s="36">
        <v>2.9791653387995094</v>
      </c>
      <c r="C12" s="36">
        <v>6.1317519528493483</v>
      </c>
      <c r="D12" s="36">
        <v>5.1746614425455029</v>
      </c>
      <c r="E12" s="36">
        <v>7.0261500084098145</v>
      </c>
      <c r="F12" s="36">
        <v>5.2918347323426902</v>
      </c>
      <c r="G12" s="36">
        <v>7.8793230143214208</v>
      </c>
      <c r="H12" s="36">
        <v>7.2763285126548354</v>
      </c>
      <c r="I12" s="36">
        <v>1.8909474159755864</v>
      </c>
      <c r="J12" s="36">
        <v>-2.9014783376410258</v>
      </c>
      <c r="K12" s="36">
        <v>3.612274598096707</v>
      </c>
      <c r="L12" s="36">
        <v>4.7220628465085754</v>
      </c>
      <c r="M12" s="36">
        <v>4.668478873435868</v>
      </c>
      <c r="N12" s="36">
        <v>6.160815293182738</v>
      </c>
      <c r="O12" s="36">
        <v>5.0634415284790766</v>
      </c>
      <c r="P12" s="36">
        <v>2.5653296410037494</v>
      </c>
      <c r="Q12" s="36">
        <v>2.1207377429897663</v>
      </c>
      <c r="R12" s="36">
        <v>1.179819633851074</v>
      </c>
      <c r="S12" s="36">
        <v>0.87760573117067298</v>
      </c>
      <c r="T12" s="36">
        <v>4.1678193987720116</v>
      </c>
      <c r="U12" s="36">
        <v>-14.022550002494983</v>
      </c>
      <c r="V12" s="36">
        <v>18.62572705988654</v>
      </c>
      <c r="W12" s="36">
        <v>17.211440943026133</v>
      </c>
      <c r="X12" s="36">
        <v>7.2281998384141506</v>
      </c>
      <c r="Y12" s="36">
        <v>4.9558057142994674</v>
      </c>
    </row>
    <row r="13" spans="1:31" ht="15" x14ac:dyDescent="0.3">
      <c r="A13" s="1" t="s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5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31" ht="15" x14ac:dyDescent="0.3">
      <c r="A14" s="1" t="s">
        <v>11</v>
      </c>
      <c r="B14" s="24">
        <v>11.701906708818175</v>
      </c>
      <c r="C14" s="24">
        <v>11.108317314944676</v>
      </c>
      <c r="D14" s="24">
        <v>11.87414523811943</v>
      </c>
      <c r="E14" s="24">
        <v>12.67633159483473</v>
      </c>
      <c r="F14" s="11">
        <v>12.239232845036335</v>
      </c>
      <c r="G14" s="11">
        <v>14.628089414974013</v>
      </c>
      <c r="H14" s="11">
        <v>13.97324034371854</v>
      </c>
      <c r="I14" s="25">
        <v>14.187244599916681</v>
      </c>
      <c r="J14" s="11">
        <v>16.027867340765287</v>
      </c>
      <c r="K14" s="11">
        <v>15.831783060718591</v>
      </c>
      <c r="L14" s="25">
        <v>14.521083864768281</v>
      </c>
      <c r="M14" s="25">
        <v>14.203214078495652</v>
      </c>
      <c r="N14" s="25">
        <v>12.457945331798705</v>
      </c>
      <c r="O14" s="24">
        <v>12.494478636661665</v>
      </c>
      <c r="P14" s="24">
        <v>10.59940541150976</v>
      </c>
      <c r="Q14" s="11">
        <v>9.5023268044893232</v>
      </c>
      <c r="R14" s="11">
        <v>10.610585822060877</v>
      </c>
      <c r="S14" s="11">
        <v>10.35164715265323</v>
      </c>
      <c r="T14" s="11">
        <v>9.8355652495578116</v>
      </c>
      <c r="U14" s="11">
        <v>10.745840677331696</v>
      </c>
      <c r="V14" s="11">
        <v>11.338679737877593</v>
      </c>
      <c r="W14" s="11">
        <v>10.346925464882888</v>
      </c>
      <c r="X14" s="11">
        <v>9.2637135436525373</v>
      </c>
      <c r="Y14" s="11">
        <v>8.6</v>
      </c>
    </row>
    <row r="15" spans="1:31" ht="15" x14ac:dyDescent="0.3">
      <c r="A15" s="1" t="s">
        <v>12</v>
      </c>
      <c r="B15" s="24">
        <v>19.068482274353979</v>
      </c>
      <c r="C15" s="24">
        <v>18.187775180137329</v>
      </c>
      <c r="D15" s="24">
        <v>15.568177212162478</v>
      </c>
      <c r="E15" s="24">
        <v>16.156697618485243</v>
      </c>
      <c r="F15" s="11">
        <v>15.86020640749703</v>
      </c>
      <c r="G15" s="11">
        <v>15.924702901406604</v>
      </c>
      <c r="H15" s="11">
        <v>15.580719834666471</v>
      </c>
      <c r="I15" s="11">
        <v>14.870410212907201</v>
      </c>
      <c r="J15" s="11">
        <v>14.571374409109236</v>
      </c>
      <c r="K15" s="11">
        <v>12.721371102283049</v>
      </c>
      <c r="L15" s="11">
        <v>12.876639078701812</v>
      </c>
      <c r="M15" s="11">
        <v>11.807189459350333</v>
      </c>
      <c r="N15" s="25">
        <v>12.927257850154191</v>
      </c>
      <c r="O15" s="24">
        <v>13.522925796350918</v>
      </c>
      <c r="P15" s="24">
        <v>13.622616866337703</v>
      </c>
      <c r="Q15" s="11">
        <v>14.951364983871072</v>
      </c>
      <c r="R15" s="11">
        <v>14.080053616271545</v>
      </c>
      <c r="S15" s="11">
        <v>13.883670613260293</v>
      </c>
      <c r="T15" s="11">
        <v>13.878463940301033</v>
      </c>
      <c r="U15" s="11">
        <v>16.224773251398695</v>
      </c>
      <c r="V15" s="11">
        <v>15.844875727500419</v>
      </c>
      <c r="W15" s="11">
        <v>14.308679943279664</v>
      </c>
      <c r="X15" s="11">
        <v>13.455315735973977</v>
      </c>
      <c r="Y15" s="11">
        <v>13.7</v>
      </c>
    </row>
    <row r="16" spans="1:31" ht="15" x14ac:dyDescent="0.3">
      <c r="A16" s="1" t="s">
        <v>13</v>
      </c>
      <c r="B16" s="24">
        <v>59.623847763331447</v>
      </c>
      <c r="C16" s="24">
        <v>60.589832149573688</v>
      </c>
      <c r="D16" s="24">
        <v>62.161994438044907</v>
      </c>
      <c r="E16" s="24">
        <v>61.107310315634621</v>
      </c>
      <c r="F16" s="11">
        <v>62.884284844239893</v>
      </c>
      <c r="G16" s="11">
        <v>59.413906151404738</v>
      </c>
      <c r="H16" s="11">
        <v>59.993834834052386</v>
      </c>
      <c r="I16" s="11">
        <v>60.487007896570233</v>
      </c>
      <c r="J16" s="11">
        <v>60.192009413849831</v>
      </c>
      <c r="K16" s="11">
        <v>61.167510943748852</v>
      </c>
      <c r="L16" s="11">
        <v>61.630228737909498</v>
      </c>
      <c r="M16" s="11">
        <v>62.597784081088939</v>
      </c>
      <c r="N16" s="25">
        <v>62.864513934825204</v>
      </c>
      <c r="O16" s="24">
        <v>61.9067146644377</v>
      </c>
      <c r="P16" s="24">
        <v>62.579568921199758</v>
      </c>
      <c r="Q16" s="11">
        <v>62.159393634603667</v>
      </c>
      <c r="R16" s="11">
        <v>62.845258285478899</v>
      </c>
      <c r="S16" s="11">
        <v>63.104269474682674</v>
      </c>
      <c r="T16" s="11">
        <v>63.577958212647587</v>
      </c>
      <c r="U16" s="11">
        <v>61.203042069752165</v>
      </c>
      <c r="V16" s="11">
        <v>60.523919051437872</v>
      </c>
      <c r="W16" s="11">
        <v>61.092458507940314</v>
      </c>
      <c r="X16" s="11">
        <v>64.004298938168674</v>
      </c>
      <c r="Y16" s="11">
        <v>64</v>
      </c>
    </row>
    <row r="17" spans="1:25" ht="15" x14ac:dyDescent="0.3">
      <c r="A17" s="4" t="s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" x14ac:dyDescent="0.3">
      <c r="A18" s="1" t="s">
        <v>15</v>
      </c>
      <c r="B18" s="24">
        <v>1.1490375617166251</v>
      </c>
      <c r="C18" s="24">
        <v>2.1952624993680843</v>
      </c>
      <c r="D18" s="24">
        <v>2.6213952490016936</v>
      </c>
      <c r="E18" s="24">
        <v>3.0674396707134406</v>
      </c>
      <c r="F18" s="11">
        <v>3.6514178652733875</v>
      </c>
      <c r="G18" s="11">
        <v>4.2402666061158385</v>
      </c>
      <c r="H18" s="11">
        <v>2.3180827464201741</v>
      </c>
      <c r="I18" s="11">
        <v>6.4</v>
      </c>
      <c r="J18" s="11">
        <v>-1.1000000000000001</v>
      </c>
      <c r="K18" s="11">
        <v>0.9</v>
      </c>
      <c r="L18" s="11">
        <v>1.7</v>
      </c>
      <c r="M18" s="11">
        <v>1.3</v>
      </c>
      <c r="N18" s="11">
        <v>0.5</v>
      </c>
      <c r="O18" s="24">
        <v>1.2013996448106636</v>
      </c>
      <c r="P18" s="24">
        <v>-0.86158400942769109</v>
      </c>
      <c r="Q18" s="11">
        <v>0.6611735667569113</v>
      </c>
      <c r="R18" s="11">
        <v>1.1499178855233254</v>
      </c>
      <c r="S18" s="11">
        <v>0.26966581780178994</v>
      </c>
      <c r="T18" s="11">
        <v>0.1856129168021956</v>
      </c>
      <c r="U18" s="11">
        <v>0.12244574256259409</v>
      </c>
      <c r="V18" s="11">
        <v>3.2388446879638004</v>
      </c>
      <c r="W18" s="11">
        <v>6.3</v>
      </c>
      <c r="X18" s="11">
        <v>4.3898401748766194</v>
      </c>
      <c r="Y18" s="11">
        <v>3.3</v>
      </c>
    </row>
    <row r="19" spans="1:25" ht="15" x14ac:dyDescent="0.3">
      <c r="A19" s="1" t="s">
        <v>16</v>
      </c>
      <c r="B19" s="11">
        <v>364.9</v>
      </c>
      <c r="C19" s="11">
        <v>358.2</v>
      </c>
      <c r="D19" s="11">
        <v>442.6</v>
      </c>
      <c r="E19" s="11">
        <v>492.6</v>
      </c>
      <c r="F19" s="11">
        <v>516</v>
      </c>
      <c r="G19" s="11">
        <v>617.79999999999995</v>
      </c>
      <c r="H19" s="11">
        <v>704.4</v>
      </c>
      <c r="I19" s="11">
        <v>706.2</v>
      </c>
      <c r="J19" s="11">
        <v>713.3</v>
      </c>
      <c r="K19" s="11">
        <v>707.9</v>
      </c>
      <c r="L19" s="11">
        <v>839.3</v>
      </c>
      <c r="M19" s="11">
        <v>1102.9000000000001</v>
      </c>
      <c r="N19" s="11">
        <v>1121.9000000000001</v>
      </c>
      <c r="O19" s="24">
        <v>1313.9</v>
      </c>
      <c r="P19" s="24">
        <v>1528.43</v>
      </c>
      <c r="Q19" s="11">
        <v>1471.8467971800001</v>
      </c>
      <c r="R19" s="11">
        <v>1565.88453843</v>
      </c>
      <c r="S19" s="11">
        <v>1598.4725259300001</v>
      </c>
      <c r="T19" s="11">
        <v>1681.846</v>
      </c>
      <c r="U19" s="11">
        <v>1965.463</v>
      </c>
      <c r="V19" s="11">
        <v>2233.1</v>
      </c>
      <c r="W19" s="11">
        <v>2423.5</v>
      </c>
      <c r="X19" s="11">
        <v>2667.6581512799999</v>
      </c>
      <c r="Y19" s="11">
        <v>3331.7358392599999</v>
      </c>
    </row>
    <row r="20" spans="1:25" ht="15" x14ac:dyDescent="0.3">
      <c r="A20" s="1" t="s">
        <v>17</v>
      </c>
      <c r="B20" s="24">
        <v>676.3</v>
      </c>
      <c r="C20" s="24">
        <v>706</v>
      </c>
      <c r="D20" s="24">
        <v>659.6</v>
      </c>
      <c r="E20" s="24">
        <v>757.1</v>
      </c>
      <c r="F20" s="11">
        <v>815.8</v>
      </c>
      <c r="G20" s="11">
        <v>887.1</v>
      </c>
      <c r="H20" s="11">
        <v>1031.7</v>
      </c>
      <c r="I20" s="25">
        <v>1260.4000000000001</v>
      </c>
      <c r="J20" s="11">
        <v>1379.9</v>
      </c>
      <c r="K20" s="11">
        <v>1377</v>
      </c>
      <c r="L20" s="25">
        <v>1361.9</v>
      </c>
      <c r="M20" s="25">
        <v>1340.7</v>
      </c>
      <c r="N20" s="25">
        <v>1354.7</v>
      </c>
      <c r="O20" s="24">
        <v>1358.3</v>
      </c>
      <c r="P20" s="24">
        <v>1345.432</v>
      </c>
      <c r="Q20" s="11">
        <v>1478.395</v>
      </c>
      <c r="R20" s="11">
        <v>1372.57</v>
      </c>
      <c r="S20" s="11">
        <v>1418.847</v>
      </c>
      <c r="T20" s="11">
        <v>1510.425</v>
      </c>
      <c r="U20" s="11">
        <v>1568.3389999999999</v>
      </c>
      <c r="V20" s="11">
        <v>1735.5</v>
      </c>
      <c r="W20" s="11">
        <v>1731.0930000000001</v>
      </c>
      <c r="X20" s="11">
        <v>1778.912</v>
      </c>
      <c r="Y20" s="11">
        <v>1532.1030000000001</v>
      </c>
    </row>
    <row r="21" spans="1:25" ht="15" x14ac:dyDescent="0.3">
      <c r="A21" s="1" t="s">
        <v>18</v>
      </c>
      <c r="B21" s="26" t="s">
        <v>3</v>
      </c>
      <c r="C21" s="11">
        <v>2.2089896273530765</v>
      </c>
      <c r="D21" s="11">
        <v>3.5707573764330007</v>
      </c>
      <c r="E21" s="11">
        <v>13.382326256577754</v>
      </c>
      <c r="F21" s="11">
        <v>6.5695766984076105</v>
      </c>
      <c r="G21" s="11">
        <v>12.997447064123751</v>
      </c>
      <c r="H21" s="11">
        <v>15.355481727574743</v>
      </c>
      <c r="I21" s="26">
        <v>13.3</v>
      </c>
      <c r="J21" s="11">
        <v>6.4</v>
      </c>
      <c r="K21" s="11">
        <v>-0.4</v>
      </c>
      <c r="L21" s="26">
        <v>5.6</v>
      </c>
      <c r="M21" s="27">
        <v>11</v>
      </c>
      <c r="N21" s="26">
        <v>1.4</v>
      </c>
      <c r="O21" s="24">
        <v>7.9</v>
      </c>
      <c r="P21" s="24">
        <v>7.6</v>
      </c>
      <c r="Q21" s="11">
        <v>2.7</v>
      </c>
      <c r="R21" s="11">
        <v>-0.4</v>
      </c>
      <c r="S21" s="11">
        <v>2.7</v>
      </c>
      <c r="T21" s="11">
        <v>5.8</v>
      </c>
      <c r="U21" s="11">
        <v>10.7</v>
      </c>
      <c r="V21" s="11">
        <v>12.3</v>
      </c>
      <c r="W21" s="11">
        <v>4.7</v>
      </c>
      <c r="X21" s="11">
        <v>7</v>
      </c>
      <c r="Y21" s="11">
        <v>9.4</v>
      </c>
    </row>
    <row r="22" spans="1:25" ht="15" x14ac:dyDescent="0.3">
      <c r="A22" s="1" t="s">
        <v>19</v>
      </c>
      <c r="B22" s="28">
        <f>(B19+B20)/B9*100</f>
        <v>44.418084813560931</v>
      </c>
      <c r="C22" s="28">
        <f t="shared" ref="C22:Q22" si="20">(C19+C20)/C9*100</f>
        <v>42.776336830782469</v>
      </c>
      <c r="D22" s="28">
        <f t="shared" si="20"/>
        <v>42.124001566420624</v>
      </c>
      <c r="E22" s="28">
        <f t="shared" si="20"/>
        <v>44.625703984131</v>
      </c>
      <c r="F22" s="28">
        <f t="shared" si="20"/>
        <v>45.167247731475349</v>
      </c>
      <c r="G22" s="28">
        <f t="shared" si="20"/>
        <v>47.310119696357397</v>
      </c>
      <c r="H22" s="28">
        <f t="shared" si="20"/>
        <v>50.876501566514733</v>
      </c>
      <c r="I22" s="28">
        <f t="shared" si="20"/>
        <v>56.561762962148165</v>
      </c>
      <c r="J22" s="28">
        <f t="shared" si="20"/>
        <v>62.001901797567506</v>
      </c>
      <c r="K22" s="28">
        <f t="shared" si="20"/>
        <v>59.603025618109264</v>
      </c>
      <c r="L22" s="28">
        <f t="shared" si="20"/>
        <v>60.090302822423133</v>
      </c>
      <c r="M22" s="28">
        <f t="shared" si="20"/>
        <v>63.732226694902202</v>
      </c>
      <c r="N22" s="28">
        <f t="shared" si="20"/>
        <v>60.844398098809712</v>
      </c>
      <c r="O22" s="28">
        <f t="shared" si="20"/>
        <v>62.485905480614143</v>
      </c>
      <c r="P22" s="28">
        <f t="shared" si="20"/>
        <v>65.520686271409801</v>
      </c>
      <c r="Q22" s="28">
        <f t="shared" si="20"/>
        <v>65.865227414959605</v>
      </c>
      <c r="R22" s="28">
        <v>64.829073920197146</v>
      </c>
      <c r="S22" s="28">
        <v>65.786508946969079</v>
      </c>
      <c r="T22" s="28">
        <v>66.830911303341949</v>
      </c>
      <c r="U22" s="28">
        <v>86.492579010774691</v>
      </c>
      <c r="V22" s="28">
        <v>81.977147840880193</v>
      </c>
      <c r="W22" s="28">
        <v>72.972085423061301</v>
      </c>
      <c r="X22" s="28">
        <v>72.494553963355941</v>
      </c>
      <c r="Y22" s="28">
        <v>71.261489176440989</v>
      </c>
    </row>
    <row r="23" spans="1:25" ht="15" x14ac:dyDescent="0.3">
      <c r="A23" s="4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5" x14ac:dyDescent="0.3">
      <c r="A24" s="1" t="s">
        <v>21</v>
      </c>
      <c r="B24" s="24">
        <v>788.5</v>
      </c>
      <c r="C24" s="24">
        <f>SUM(C25:C26)</f>
        <v>904.6</v>
      </c>
      <c r="D24" s="24">
        <v>1041.7</v>
      </c>
      <c r="E24" s="24">
        <v>1176</v>
      </c>
      <c r="F24" s="11">
        <v>1254.7</v>
      </c>
      <c r="G24" s="11">
        <v>1390.5</v>
      </c>
      <c r="H24" s="11">
        <v>1599.6</v>
      </c>
      <c r="I24" s="11">
        <v>1742.4</v>
      </c>
      <c r="J24" s="11">
        <v>1805.4</v>
      </c>
      <c r="K24" s="11">
        <v>1762</v>
      </c>
      <c r="L24" s="11">
        <v>1756.5</v>
      </c>
      <c r="M24" s="11">
        <v>1802.6</v>
      </c>
      <c r="N24" s="26">
        <v>1854.3</v>
      </c>
      <c r="O24" s="24">
        <v>1933</v>
      </c>
      <c r="P24" s="24">
        <v>1985.7</v>
      </c>
      <c r="Q24" s="11">
        <v>2015.0309999999999</v>
      </c>
      <c r="R24" s="38">
        <v>2018.191</v>
      </c>
      <c r="S24" s="38">
        <v>2119.91</v>
      </c>
      <c r="T24" s="38">
        <v>2237.9960000000001</v>
      </c>
      <c r="U24" s="38">
        <v>2278.0790000000002</v>
      </c>
      <c r="V24" s="38">
        <v>2313</v>
      </c>
      <c r="W24" s="38">
        <v>2418.8000000000002</v>
      </c>
      <c r="X24" s="38">
        <v>2572.1570000000002</v>
      </c>
      <c r="Y24" s="38">
        <v>2675.027</v>
      </c>
    </row>
    <row r="25" spans="1:25" ht="15" x14ac:dyDescent="0.3">
      <c r="A25" s="1" t="s">
        <v>22</v>
      </c>
      <c r="B25" s="24">
        <v>12.9</v>
      </c>
      <c r="C25" s="24">
        <v>16</v>
      </c>
      <c r="D25" s="24">
        <v>26.4</v>
      </c>
      <c r="E25" s="24">
        <v>46.3</v>
      </c>
      <c r="F25" s="11">
        <v>63</v>
      </c>
      <c r="G25" s="11">
        <v>48.5</v>
      </c>
      <c r="H25" s="11">
        <v>40.700000000000003</v>
      </c>
      <c r="I25" s="11">
        <v>19.100000000000001</v>
      </c>
      <c r="J25" s="11">
        <v>10.199999999999999</v>
      </c>
      <c r="K25" s="11">
        <v>8.9</v>
      </c>
      <c r="L25" s="11">
        <v>8.8000000000000007</v>
      </c>
      <c r="M25" s="11">
        <v>16.600000000000001</v>
      </c>
      <c r="N25" s="26">
        <v>23.8</v>
      </c>
      <c r="O25" s="24">
        <v>17.5</v>
      </c>
      <c r="P25" s="24">
        <v>11.308</v>
      </c>
      <c r="Q25" s="11">
        <v>8.7279999999999998</v>
      </c>
      <c r="R25" s="39">
        <f>4.1+1.225</f>
        <v>5.3249999999999993</v>
      </c>
      <c r="S25" s="39">
        <f>3.736+46.876</f>
        <v>50.611999999999995</v>
      </c>
      <c r="T25" s="39">
        <f>3.753+54.255</f>
        <v>58.008000000000003</v>
      </c>
      <c r="U25" s="39">
        <f>41.292+0</f>
        <v>41.292000000000002</v>
      </c>
      <c r="V25" s="38">
        <v>27.8</v>
      </c>
      <c r="W25" s="38">
        <v>26.027999999999999</v>
      </c>
      <c r="X25" s="38">
        <v>41.8</v>
      </c>
      <c r="Y25" s="38">
        <v>41.381</v>
      </c>
    </row>
    <row r="26" spans="1:25" ht="15" x14ac:dyDescent="0.3">
      <c r="A26" s="1" t="s">
        <v>23</v>
      </c>
      <c r="B26" s="11">
        <v>775.6</v>
      </c>
      <c r="C26" s="11">
        <v>888.6</v>
      </c>
      <c r="D26" s="11">
        <v>1015.3</v>
      </c>
      <c r="E26" s="11">
        <v>11297</v>
      </c>
      <c r="F26" s="11">
        <v>1191.7</v>
      </c>
      <c r="G26" s="11">
        <v>1341.9</v>
      </c>
      <c r="H26" s="11">
        <v>1558.8</v>
      </c>
      <c r="I26" s="11">
        <v>1723.2</v>
      </c>
      <c r="J26" s="11">
        <v>1795.3</v>
      </c>
      <c r="K26" s="11">
        <v>1753.1</v>
      </c>
      <c r="L26" s="11">
        <v>1747.7</v>
      </c>
      <c r="M26" s="11">
        <v>1786</v>
      </c>
      <c r="N26" s="26">
        <v>1830.5</v>
      </c>
      <c r="O26" s="24">
        <v>1915.5</v>
      </c>
      <c r="P26" s="24">
        <v>1974.4380000000001</v>
      </c>
      <c r="Q26" s="11">
        <v>2006.3030000000001</v>
      </c>
      <c r="R26" s="38">
        <v>2012.866</v>
      </c>
      <c r="S26" s="38">
        <v>2069.2979999999998</v>
      </c>
      <c r="T26" s="38">
        <v>2179.9879999999998</v>
      </c>
      <c r="U26" s="38">
        <v>2236.8000000000002</v>
      </c>
      <c r="V26" s="38">
        <v>2285.1999999999998</v>
      </c>
      <c r="W26" s="38">
        <v>2392.8000000000002</v>
      </c>
      <c r="X26" s="38">
        <v>2530.357</v>
      </c>
      <c r="Y26" s="38">
        <v>2633.6460000000002</v>
      </c>
    </row>
    <row r="27" spans="1:25" ht="15" x14ac:dyDescent="0.3">
      <c r="A27" s="4" t="s">
        <v>24</v>
      </c>
      <c r="B27" s="24"/>
      <c r="C27" s="24"/>
      <c r="D27" s="24"/>
      <c r="E27" s="24"/>
      <c r="F27" s="11"/>
      <c r="G27" s="11"/>
      <c r="H27" s="11"/>
      <c r="I27" s="26"/>
      <c r="J27" s="11"/>
      <c r="K27" s="11"/>
      <c r="L27" s="26"/>
      <c r="M27" s="26"/>
      <c r="N27" s="29"/>
      <c r="O27" s="24"/>
      <c r="P27" s="24"/>
      <c r="Q27" s="11"/>
      <c r="R27" s="40"/>
      <c r="S27" s="40"/>
      <c r="T27" s="40"/>
      <c r="U27" s="40"/>
      <c r="V27" s="40"/>
      <c r="W27" s="40"/>
      <c r="X27" s="40"/>
      <c r="Y27" s="41"/>
    </row>
    <row r="28" spans="1:25" ht="15" x14ac:dyDescent="0.3">
      <c r="A28" s="1" t="s">
        <v>25</v>
      </c>
      <c r="B28" s="24">
        <v>15.4</v>
      </c>
      <c r="C28" s="24">
        <v>14.5</v>
      </c>
      <c r="D28" s="24">
        <v>14.2</v>
      </c>
      <c r="E28" s="24">
        <v>14</v>
      </c>
      <c r="F28" s="11">
        <v>14.3</v>
      </c>
      <c r="G28" s="11">
        <v>14.2</v>
      </c>
      <c r="H28" s="11">
        <v>14.3</v>
      </c>
      <c r="I28" s="11">
        <v>14.1</v>
      </c>
      <c r="J28" s="11">
        <v>13.98</v>
      </c>
      <c r="K28" s="11">
        <v>13.78</v>
      </c>
      <c r="L28" s="11">
        <v>12.93</v>
      </c>
      <c r="M28" s="11">
        <v>11.9</v>
      </c>
      <c r="N28" s="27">
        <v>11.12</v>
      </c>
      <c r="O28" s="24">
        <v>10.66</v>
      </c>
      <c r="P28" s="24">
        <v>10.029999999999999</v>
      </c>
      <c r="Q28" s="11">
        <v>9.66</v>
      </c>
      <c r="R28" s="42">
        <v>9.3000000000000007</v>
      </c>
      <c r="S28" s="42">
        <v>8.98</v>
      </c>
      <c r="T28" s="42">
        <v>8.75</v>
      </c>
      <c r="U28" s="42">
        <v>8.5299999999999994</v>
      </c>
      <c r="V28" s="38">
        <v>8.6783626958042053</v>
      </c>
      <c r="W28" s="38">
        <v>8.7219041848456449</v>
      </c>
      <c r="X28" s="38">
        <v>8.4187444279319621</v>
      </c>
      <c r="Y28" s="38">
        <v>8.4516737311045631</v>
      </c>
    </row>
    <row r="29" spans="1:25" ht="15" x14ac:dyDescent="0.3">
      <c r="A29" s="1" t="s">
        <v>26</v>
      </c>
      <c r="B29" s="24">
        <v>4.3</v>
      </c>
      <c r="C29" s="24">
        <v>4.5</v>
      </c>
      <c r="D29" s="24">
        <v>4.9000000000000004</v>
      </c>
      <c r="E29" s="24">
        <v>5.2</v>
      </c>
      <c r="F29" s="11">
        <v>5.5</v>
      </c>
      <c r="G29" s="11">
        <v>5.8</v>
      </c>
      <c r="H29" s="11">
        <v>6</v>
      </c>
      <c r="I29" s="11">
        <v>6.4</v>
      </c>
      <c r="J29" s="11">
        <v>6.12</v>
      </c>
      <c r="K29" s="11">
        <v>5.61</v>
      </c>
      <c r="L29" s="11">
        <v>3.7</v>
      </c>
      <c r="M29" s="11">
        <v>2.5499999999999998</v>
      </c>
      <c r="N29" s="27">
        <v>2.17</v>
      </c>
      <c r="O29" s="24">
        <v>1.73</v>
      </c>
      <c r="P29" s="24">
        <v>1.46</v>
      </c>
      <c r="Q29" s="11">
        <v>1.28</v>
      </c>
      <c r="R29" s="42">
        <v>1.21</v>
      </c>
      <c r="S29" s="42">
        <v>1.24</v>
      </c>
      <c r="T29" s="42">
        <v>1.1399999999999999</v>
      </c>
      <c r="U29" s="42">
        <v>1.26</v>
      </c>
      <c r="V29" s="38">
        <v>1.25</v>
      </c>
      <c r="W29" s="38">
        <v>1.2162709582856719</v>
      </c>
      <c r="X29" s="38">
        <v>1.1787252601802938</v>
      </c>
      <c r="Y29" s="38">
        <v>0.94609631594711396</v>
      </c>
    </row>
    <row r="30" spans="1:25" ht="15" x14ac:dyDescent="0.3">
      <c r="A30" s="1" t="s">
        <v>27</v>
      </c>
      <c r="B30" s="24">
        <f>B28-B29</f>
        <v>11.100000000000001</v>
      </c>
      <c r="C30" s="24">
        <f>C28-C29</f>
        <v>10</v>
      </c>
      <c r="D30" s="24">
        <f>D28-D29</f>
        <v>9.2999999999999989</v>
      </c>
      <c r="E30" s="24">
        <v>8.8000000000000007</v>
      </c>
      <c r="F30" s="11">
        <v>8.8000000000000007</v>
      </c>
      <c r="G30" s="11">
        <v>8.5</v>
      </c>
      <c r="H30" s="11">
        <v>8.3000000000000007</v>
      </c>
      <c r="I30" s="11">
        <f t="shared" ref="I30:L30" si="21">I28-I29</f>
        <v>7.6999999999999993</v>
      </c>
      <c r="J30" s="11">
        <f t="shared" si="21"/>
        <v>7.86</v>
      </c>
      <c r="K30" s="11">
        <f t="shared" si="21"/>
        <v>8.1699999999999982</v>
      </c>
      <c r="L30" s="11">
        <f t="shared" si="21"/>
        <v>9.23</v>
      </c>
      <c r="M30" s="11">
        <v>9.4</v>
      </c>
      <c r="N30" s="27">
        <v>8.9499999999999993</v>
      </c>
      <c r="O30" s="24">
        <v>8.93</v>
      </c>
      <c r="P30" s="24">
        <v>8.57</v>
      </c>
      <c r="Q30" s="11">
        <v>8.3800000000000008</v>
      </c>
      <c r="R30" s="42">
        <v>8.09</v>
      </c>
      <c r="S30" s="42">
        <v>7.74</v>
      </c>
      <c r="T30" s="42">
        <v>7.61</v>
      </c>
      <c r="U30" s="42">
        <v>7.27</v>
      </c>
      <c r="V30" s="43">
        <v>7.4283626958042053</v>
      </c>
      <c r="W30" s="43">
        <v>7.505633226559973</v>
      </c>
      <c r="X30" s="43">
        <v>7.2400191677516688</v>
      </c>
      <c r="Y30" s="38">
        <v>7.5055774151574495</v>
      </c>
    </row>
    <row r="31" spans="1:25" ht="15" x14ac:dyDescent="0.3">
      <c r="A31" s="4" t="s">
        <v>28</v>
      </c>
      <c r="B31" s="24"/>
      <c r="C31" s="24"/>
      <c r="D31" s="24"/>
      <c r="E31" s="24"/>
      <c r="F31" s="11"/>
      <c r="G31" s="11"/>
      <c r="H31" s="11"/>
      <c r="I31" s="26"/>
      <c r="J31" s="11"/>
      <c r="K31" s="11"/>
      <c r="L31" s="26"/>
      <c r="M31" s="26"/>
      <c r="N31" s="27"/>
      <c r="O31" s="24"/>
      <c r="P31" s="24"/>
      <c r="Q31" s="11"/>
      <c r="R31" s="44"/>
      <c r="S31" s="44"/>
      <c r="T31" s="44"/>
      <c r="U31" s="44"/>
      <c r="V31" s="44"/>
      <c r="W31" s="44"/>
      <c r="X31" s="44"/>
      <c r="Y31" s="44"/>
    </row>
    <row r="32" spans="1:25" ht="15" x14ac:dyDescent="0.3">
      <c r="A32" s="1" t="s">
        <v>29</v>
      </c>
      <c r="B32" s="30">
        <v>372.05399999999997</v>
      </c>
      <c r="C32" s="24">
        <v>425.75900000000001</v>
      </c>
      <c r="D32" s="24">
        <v>422.19</v>
      </c>
      <c r="E32" s="24">
        <v>451.9</v>
      </c>
      <c r="F32" s="24">
        <v>511.5</v>
      </c>
      <c r="G32" s="11">
        <v>566</v>
      </c>
      <c r="H32" s="11">
        <v>653.35655590164197</v>
      </c>
      <c r="I32" s="11">
        <v>732.34561628857205</v>
      </c>
      <c r="J32" s="11">
        <v>660.275596256276</v>
      </c>
      <c r="K32" s="11">
        <v>753.76800000000003</v>
      </c>
      <c r="L32" s="11">
        <v>786.99941602336503</v>
      </c>
      <c r="M32" s="11">
        <v>825.60152359999995</v>
      </c>
      <c r="N32" s="31">
        <v>851.58</v>
      </c>
      <c r="O32" s="24">
        <v>911.68799999999999</v>
      </c>
      <c r="P32" s="24">
        <v>993.98500000000001</v>
      </c>
      <c r="Q32" s="11">
        <v>1002.577</v>
      </c>
      <c r="R32" s="45">
        <v>1047.93</v>
      </c>
      <c r="S32" s="45">
        <v>1139.3689999999999</v>
      </c>
      <c r="T32" s="46">
        <v>1147.7</v>
      </c>
      <c r="U32" s="45">
        <v>944.22107749999998</v>
      </c>
      <c r="V32" s="45">
        <v>1082.05294895</v>
      </c>
      <c r="W32" s="45">
        <v>1287.3826650000001</v>
      </c>
      <c r="X32" s="45">
        <v>1348.2340271200001</v>
      </c>
      <c r="Y32" s="45">
        <v>1503.9567644599999</v>
      </c>
    </row>
    <row r="33" spans="1:25" ht="15" x14ac:dyDescent="0.3">
      <c r="A33" s="1" t="s">
        <v>30</v>
      </c>
      <c r="B33" s="27">
        <v>333.666</v>
      </c>
      <c r="C33" s="24">
        <v>333.44499999999999</v>
      </c>
      <c r="D33" s="24">
        <v>393.048</v>
      </c>
      <c r="E33" s="24">
        <v>474.1</v>
      </c>
      <c r="F33" s="24">
        <v>561.15099999999995</v>
      </c>
      <c r="G33" s="11">
        <v>550.79999999999995</v>
      </c>
      <c r="H33" s="11">
        <v>636.12099999999998</v>
      </c>
      <c r="I33" s="11">
        <v>617.86099999999999</v>
      </c>
      <c r="J33" s="11">
        <v>662.06479999999999</v>
      </c>
      <c r="K33" s="11">
        <v>682.73400000000004</v>
      </c>
      <c r="L33" s="11">
        <v>717.37962724332499</v>
      </c>
      <c r="M33" s="11">
        <v>740.84018701000002</v>
      </c>
      <c r="N33" s="31">
        <v>743.62199999999996</v>
      </c>
      <c r="O33" s="24">
        <v>817.57</v>
      </c>
      <c r="P33" s="24">
        <v>893.99</v>
      </c>
      <c r="Q33" s="11">
        <v>950.94200000000001</v>
      </c>
      <c r="R33" s="45">
        <v>1005.828</v>
      </c>
      <c r="S33" s="45">
        <v>1052.8508957189665</v>
      </c>
      <c r="T33" s="45">
        <v>1084.5</v>
      </c>
      <c r="U33" s="45">
        <v>1007.3785148400001</v>
      </c>
      <c r="V33" s="45">
        <v>933.91422256999988</v>
      </c>
      <c r="W33" s="45">
        <v>1052.4989149600001</v>
      </c>
      <c r="X33" s="45">
        <v>1148.6296384100001</v>
      </c>
      <c r="Y33" s="45">
        <v>1249.8485802</v>
      </c>
    </row>
    <row r="34" spans="1:25" ht="15" x14ac:dyDescent="0.3">
      <c r="A34" s="1" t="s">
        <v>31</v>
      </c>
      <c r="B34" s="27">
        <f>B32-B33</f>
        <v>38.387999999999977</v>
      </c>
      <c r="C34" s="24">
        <v>92.314000000000021</v>
      </c>
      <c r="D34" s="24">
        <v>29.141999999999996</v>
      </c>
      <c r="E34" s="24">
        <v>-22.200000000000045</v>
      </c>
      <c r="F34" s="24">
        <v>-49.650999999999954</v>
      </c>
      <c r="G34" s="11">
        <v>15.200000000000045</v>
      </c>
      <c r="H34" s="11">
        <v>17.235700441641601</v>
      </c>
      <c r="I34" s="11">
        <v>114.48562191857199</v>
      </c>
      <c r="J34" s="11">
        <f t="shared" ref="J34:L34" si="22">J32-J33</f>
        <v>-1.7892037437239878</v>
      </c>
      <c r="K34" s="11">
        <f t="shared" si="22"/>
        <v>71.033999999999992</v>
      </c>
      <c r="L34" s="11">
        <f t="shared" si="22"/>
        <v>69.619788780040039</v>
      </c>
      <c r="M34" s="11">
        <v>84.761336589999928</v>
      </c>
      <c r="N34" s="11">
        <v>107.95800000000008</v>
      </c>
      <c r="O34" s="24">
        <v>94.117999999999938</v>
      </c>
      <c r="P34" s="24">
        <v>99.995000000000005</v>
      </c>
      <c r="Q34" s="11">
        <v>51.634999999999991</v>
      </c>
      <c r="R34" s="45">
        <f t="shared" ref="R34:S34" si="23">R32-R33</f>
        <v>42.102000000000089</v>
      </c>
      <c r="S34" s="45">
        <f t="shared" si="23"/>
        <v>86.518104281033402</v>
      </c>
      <c r="T34" s="45">
        <f>T32-T33</f>
        <v>63.200000000000045</v>
      </c>
      <c r="U34" s="45">
        <f t="shared" ref="U34" si="24">U32-U33</f>
        <v>-63.157437340000115</v>
      </c>
      <c r="V34" s="45">
        <f>V32-V33</f>
        <v>148.13872638000009</v>
      </c>
      <c r="W34" s="45">
        <f t="shared" ref="W34:Y34" si="25">W32-W33</f>
        <v>234.88375004</v>
      </c>
      <c r="X34" s="45">
        <f t="shared" si="25"/>
        <v>199.60438870999997</v>
      </c>
      <c r="Y34" s="45">
        <f t="shared" si="25"/>
        <v>254.10818425999992</v>
      </c>
    </row>
    <row r="35" spans="1:25" ht="15" x14ac:dyDescent="0.3">
      <c r="A35" s="1" t="s">
        <v>32</v>
      </c>
      <c r="B35" s="27">
        <v>218.48500000000001</v>
      </c>
      <c r="C35" s="24">
        <v>260.3</v>
      </c>
      <c r="D35" s="24">
        <v>276.39800000000002</v>
      </c>
      <c r="E35" s="24">
        <v>173.2</v>
      </c>
      <c r="F35" s="24">
        <v>123.1</v>
      </c>
      <c r="G35" s="11">
        <v>97.1</v>
      </c>
      <c r="H35" s="11">
        <v>160.4</v>
      </c>
      <c r="I35" s="11">
        <v>141.60400000000001</v>
      </c>
      <c r="J35" s="11">
        <v>113.331</v>
      </c>
      <c r="K35" s="11">
        <v>133.13</v>
      </c>
      <c r="L35" s="11">
        <v>121.7153462</v>
      </c>
      <c r="M35" s="11">
        <v>161.89968253999999</v>
      </c>
      <c r="N35" s="31">
        <v>177.011</v>
      </c>
      <c r="O35" s="24">
        <v>281.548</v>
      </c>
      <c r="P35" s="24">
        <v>404.60300000000001</v>
      </c>
      <c r="Q35" s="11">
        <v>207.54499999999999</v>
      </c>
      <c r="R35" s="45">
        <v>171.76599999999999</v>
      </c>
      <c r="S35" s="45">
        <v>168.42504266</v>
      </c>
      <c r="T35" s="45">
        <v>222.166</v>
      </c>
      <c r="U35" s="45">
        <v>345.13407208000001</v>
      </c>
      <c r="V35" s="45">
        <v>265.24704673000002</v>
      </c>
      <c r="W35" s="45">
        <v>333.07721859000003</v>
      </c>
      <c r="X35" s="45">
        <v>347.09060048999999</v>
      </c>
      <c r="Y35" s="45">
        <v>425.40530482999998</v>
      </c>
    </row>
    <row r="36" spans="1:25" ht="15" x14ac:dyDescent="0.3">
      <c r="A36" s="1" t="s">
        <v>33</v>
      </c>
      <c r="B36" s="26">
        <v>-204.351</v>
      </c>
      <c r="C36" s="24">
        <v>-108.8</v>
      </c>
      <c r="D36" s="24">
        <v>-216</v>
      </c>
      <c r="E36" s="24">
        <v>-133.6</v>
      </c>
      <c r="F36" s="24">
        <v>-152.30000000000001</v>
      </c>
      <c r="G36" s="11">
        <v>-46.7</v>
      </c>
      <c r="H36" s="11">
        <v>-28.9468531083585</v>
      </c>
      <c r="I36" s="11">
        <v>44.182856388571601</v>
      </c>
      <c r="J36" s="11">
        <v>-76.3</v>
      </c>
      <c r="K36" s="11">
        <v>-46.341999999999999</v>
      </c>
      <c r="L36" s="11">
        <v>-22.896999999999998</v>
      </c>
      <c r="M36" s="11">
        <v>-25.132000000000001</v>
      </c>
      <c r="N36" s="31">
        <v>-35.692999999999998</v>
      </c>
      <c r="O36" s="24">
        <v>-98.733999999999995</v>
      </c>
      <c r="P36" s="24">
        <v>-276.30200000000002</v>
      </c>
      <c r="Q36" s="11">
        <v>-119.068</v>
      </c>
      <c r="R36" s="45">
        <v>-103.361</v>
      </c>
      <c r="S36" s="45">
        <v>-27.573</v>
      </c>
      <c r="T36" s="46">
        <v>130.76499999999999</v>
      </c>
      <c r="U36" s="45">
        <v>-365.9273138100001</v>
      </c>
      <c r="V36" s="45">
        <v>-82.856999999999999</v>
      </c>
      <c r="W36" s="45">
        <v>-43.939904909999811</v>
      </c>
      <c r="X36" s="45">
        <v>-130.29236347</v>
      </c>
      <c r="Y36" s="45">
        <v>-146.51563532</v>
      </c>
    </row>
    <row r="37" spans="1:25" ht="15" x14ac:dyDescent="0.3">
      <c r="A37" s="1" t="s">
        <v>34</v>
      </c>
      <c r="B37" s="27">
        <f>B36/B9*100</f>
        <v>-8.7177103819976871</v>
      </c>
      <c r="C37" s="27">
        <f t="shared" ref="C37:Y37" si="26">C36/C9*100</f>
        <v>-4.3732996120927758</v>
      </c>
      <c r="D37" s="27">
        <f t="shared" si="26"/>
        <v>-8.255111901965936</v>
      </c>
      <c r="E37" s="27">
        <f t="shared" si="26"/>
        <v>-4.770740219476596</v>
      </c>
      <c r="F37" s="27">
        <f t="shared" si="26"/>
        <v>-5.1651688162664788</v>
      </c>
      <c r="G37" s="27">
        <f t="shared" si="26"/>
        <v>-1.4681258487739319</v>
      </c>
      <c r="H37" s="27">
        <f t="shared" si="26"/>
        <v>-0.84828904873744204</v>
      </c>
      <c r="I37" s="27">
        <f t="shared" si="26"/>
        <v>1.2707516780438424</v>
      </c>
      <c r="J37" s="27">
        <f t="shared" si="26"/>
        <v>-2.2600540355218808</v>
      </c>
      <c r="K37" s="27">
        <f t="shared" si="26"/>
        <v>-1.3248229714587845</v>
      </c>
      <c r="L37" s="27">
        <f t="shared" si="26"/>
        <v>-0.62506254030756969</v>
      </c>
      <c r="M37" s="27">
        <f t="shared" si="26"/>
        <v>-0.65547484092989117</v>
      </c>
      <c r="N37" s="27">
        <f t="shared" si="26"/>
        <v>-0.87689538130534395</v>
      </c>
      <c r="O37" s="27">
        <f t="shared" si="26"/>
        <v>-2.3087655833107394</v>
      </c>
      <c r="P37" s="27">
        <f t="shared" si="26"/>
        <v>-6.299361854592556</v>
      </c>
      <c r="Q37" s="27">
        <f t="shared" si="26"/>
        <v>-2.6582366588869553</v>
      </c>
      <c r="R37" s="27">
        <f t="shared" si="26"/>
        <v>-2.2806644112571517</v>
      </c>
      <c r="S37" s="27">
        <f t="shared" si="26"/>
        <v>-0.60310640137604599</v>
      </c>
      <c r="T37" s="27">
        <f t="shared" si="26"/>
        <v>2.7457934360204708</v>
      </c>
      <c r="U37" s="27">
        <f t="shared" si="26"/>
        <v>-8.9368941006463576</v>
      </c>
      <c r="V37" s="27">
        <f t="shared" si="26"/>
        <v>-1.7058549561574203</v>
      </c>
      <c r="W37" s="27">
        <f t="shared" si="26"/>
        <v>-0.77179507798400504</v>
      </c>
      <c r="X37" s="27">
        <f t="shared" si="26"/>
        <v>-2.1342870975975057</v>
      </c>
      <c r="Y37" s="27">
        <f t="shared" si="26"/>
        <v>-2.286711534898473</v>
      </c>
    </row>
    <row r="38" spans="1:25" ht="17.25" x14ac:dyDescent="0.3">
      <c r="A38" s="1" t="s">
        <v>59</v>
      </c>
      <c r="B38" s="26" t="s">
        <v>3</v>
      </c>
      <c r="C38" s="24">
        <v>-180.9</v>
      </c>
      <c r="D38" s="24">
        <v>-62.396000000000001</v>
      </c>
      <c r="E38" s="24">
        <v>-36.200000000000003</v>
      </c>
      <c r="F38" s="24">
        <v>-19</v>
      </c>
      <c r="G38" s="11">
        <v>-8.9</v>
      </c>
      <c r="H38" s="11">
        <v>32.35161634</v>
      </c>
      <c r="I38" s="11">
        <v>-23.341999999999999</v>
      </c>
      <c r="J38" s="11">
        <v>20.094000000000001</v>
      </c>
      <c r="K38" s="11">
        <v>45.686</v>
      </c>
      <c r="L38" s="11">
        <v>13.109136510000001</v>
      </c>
      <c r="M38" s="11">
        <v>16.550891490000001</v>
      </c>
      <c r="N38" s="31">
        <v>-147.98500000000001</v>
      </c>
      <c r="O38" s="24">
        <v>-10.16</v>
      </c>
      <c r="P38" s="24">
        <v>184.06800000000001</v>
      </c>
      <c r="Q38" s="11">
        <v>66</v>
      </c>
      <c r="R38" s="45">
        <v>13.28</v>
      </c>
      <c r="S38" s="45">
        <v>-2.941017730000036</v>
      </c>
      <c r="T38" s="45">
        <v>54.297244050000053</v>
      </c>
      <c r="U38" s="45">
        <v>162.19949510999999</v>
      </c>
      <c r="V38" s="45">
        <v>-66.278100730000048</v>
      </c>
      <c r="W38" s="45">
        <v>31.966000000000001</v>
      </c>
      <c r="X38" s="46">
        <v>44.723999999999997</v>
      </c>
      <c r="Y38" s="46">
        <v>-8.5609240500000894</v>
      </c>
    </row>
    <row r="39" spans="1:25" ht="15" x14ac:dyDescent="0.3">
      <c r="A39" s="1" t="s">
        <v>35</v>
      </c>
      <c r="B39" s="26" t="s">
        <v>3</v>
      </c>
      <c r="C39" s="11">
        <v>278.32799999999997</v>
      </c>
      <c r="D39" s="11">
        <v>380.71199999999999</v>
      </c>
      <c r="E39" s="11">
        <v>179.9</v>
      </c>
      <c r="F39" s="11">
        <v>127.6</v>
      </c>
      <c r="G39" s="11">
        <v>56</v>
      </c>
      <c r="H39" s="11">
        <v>-0.960999999999534</v>
      </c>
      <c r="I39" s="11">
        <v>-3.2530000000000001</v>
      </c>
      <c r="J39" s="11">
        <v>63.1205</v>
      </c>
      <c r="K39" s="11">
        <v>7.0970000000000004</v>
      </c>
      <c r="L39" s="11">
        <v>17.825900000000001</v>
      </c>
      <c r="M39" s="11">
        <v>15.481938</v>
      </c>
      <c r="N39" s="31">
        <v>183.934</v>
      </c>
      <c r="O39" s="24">
        <v>104.06699999999999</v>
      </c>
      <c r="P39" s="24">
        <v>100.185</v>
      </c>
      <c r="Q39" s="11">
        <v>47.061</v>
      </c>
      <c r="R39" s="45">
        <v>90.018000000000001</v>
      </c>
      <c r="S39" s="45">
        <v>23.123000000000005</v>
      </c>
      <c r="T39" s="45">
        <v>37.195951599999987</v>
      </c>
      <c r="U39" s="45">
        <v>201.66598000000002</v>
      </c>
      <c r="V39" s="45">
        <v>74.163421999999997</v>
      </c>
      <c r="W39" s="45">
        <v>54.913904039999991</v>
      </c>
      <c r="X39" s="46">
        <v>89.830396590000007</v>
      </c>
      <c r="Y39" s="46">
        <v>33.764760680000002</v>
      </c>
    </row>
    <row r="40" spans="1:25" ht="15" x14ac:dyDescent="0.3">
      <c r="A40" s="4" t="s">
        <v>36</v>
      </c>
      <c r="B40" s="24"/>
      <c r="C40" s="24"/>
      <c r="D40" s="24"/>
      <c r="E40" s="24"/>
      <c r="F40" s="11"/>
      <c r="G40" s="11"/>
      <c r="H40" s="11"/>
      <c r="I40" s="26"/>
      <c r="J40" s="11"/>
      <c r="K40" s="11"/>
      <c r="L40" s="26"/>
      <c r="M40" s="26"/>
      <c r="N40" s="32"/>
      <c r="O40" s="24"/>
      <c r="P40" s="24"/>
      <c r="Q40" s="11"/>
      <c r="R40" s="40"/>
      <c r="S40" s="43"/>
      <c r="T40" s="43"/>
      <c r="U40" s="43"/>
      <c r="V40" s="43"/>
      <c r="W40" s="43"/>
      <c r="X40" s="43"/>
      <c r="Y40" s="41"/>
    </row>
    <row r="41" spans="1:25" ht="17.25" x14ac:dyDescent="0.3">
      <c r="A41" s="1" t="s">
        <v>60</v>
      </c>
      <c r="B41" s="24">
        <v>269.10000000000002</v>
      </c>
      <c r="C41" s="24">
        <v>309.7</v>
      </c>
      <c r="D41" s="24">
        <f>631/2</f>
        <v>315.5</v>
      </c>
      <c r="E41" s="24">
        <v>307.45</v>
      </c>
      <c r="F41" s="11">
        <v>325.23255969000002</v>
      </c>
      <c r="G41" s="11">
        <v>427.14401942999996</v>
      </c>
      <c r="H41" s="11">
        <v>425.57439373016996</v>
      </c>
      <c r="I41" s="11">
        <v>480.13068431360512</v>
      </c>
      <c r="J41" s="11">
        <v>383.64864528359999</v>
      </c>
      <c r="K41" s="11">
        <v>478.20946968390007</v>
      </c>
      <c r="L41" s="11">
        <v>603.68117125289837</v>
      </c>
      <c r="M41" s="11">
        <v>621.57568966770009</v>
      </c>
      <c r="N41" s="31">
        <v>608.07401406065014</v>
      </c>
      <c r="O41" s="24">
        <v>589.18065935000004</v>
      </c>
      <c r="P41" s="24">
        <v>537.91160488960372</v>
      </c>
      <c r="Q41" s="11">
        <v>442.79971793595746</v>
      </c>
      <c r="R41" s="39">
        <v>457.13522436557543</v>
      </c>
      <c r="S41" s="39">
        <v>451.72606140466002</v>
      </c>
      <c r="T41" s="39">
        <v>425.27499999999998</v>
      </c>
      <c r="U41" s="39">
        <v>288.99812907365703</v>
      </c>
      <c r="V41" s="39">
        <v>422.12297391725008</v>
      </c>
      <c r="W41" s="39">
        <v>517.7405729259641</v>
      </c>
      <c r="X41" s="39">
        <v>488.07198457918753</v>
      </c>
      <c r="Y41" s="39">
        <v>482.47884959471327</v>
      </c>
    </row>
    <row r="42" spans="1:25" ht="15" x14ac:dyDescent="0.3">
      <c r="A42" s="1" t="s">
        <v>37</v>
      </c>
      <c r="B42" s="24">
        <v>477.7</v>
      </c>
      <c r="C42" s="24">
        <v>496.9</v>
      </c>
      <c r="D42" s="24">
        <f>1044.7/2</f>
        <v>522.35</v>
      </c>
      <c r="E42" s="24">
        <f>961.4/2</f>
        <v>480.7</v>
      </c>
      <c r="F42" s="11">
        <v>556.22015758885004</v>
      </c>
      <c r="G42" s="11">
        <v>611.92976759285</v>
      </c>
      <c r="H42" s="11">
        <v>642.0168580468852</v>
      </c>
      <c r="I42" s="11">
        <v>788.23925384450558</v>
      </c>
      <c r="J42" s="11">
        <v>620.51212864330023</v>
      </c>
      <c r="K42" s="11">
        <v>652.96636953291386</v>
      </c>
      <c r="L42" s="11">
        <v>774.56426577741672</v>
      </c>
      <c r="M42" s="11">
        <v>818.10496674255569</v>
      </c>
      <c r="N42" s="31">
        <v>888.58610579671108</v>
      </c>
      <c r="O42" s="24">
        <v>938.7465740521302</v>
      </c>
      <c r="P42" s="24">
        <v>961.26473330245665</v>
      </c>
      <c r="Q42" s="11">
        <v>875.121869516743</v>
      </c>
      <c r="R42" s="39">
        <v>848.26519638305604</v>
      </c>
      <c r="S42" s="39">
        <v>896.946159547815</v>
      </c>
      <c r="T42" s="39">
        <v>968.50149999999996</v>
      </c>
      <c r="U42" s="39">
        <v>731.43192995183995</v>
      </c>
      <c r="V42" s="39">
        <v>956.08604979971437</v>
      </c>
      <c r="W42" s="39">
        <v>1223.6358793615054</v>
      </c>
      <c r="X42" s="39">
        <v>1265.4155499042452</v>
      </c>
      <c r="Y42" s="39">
        <v>1362.0024969046415</v>
      </c>
    </row>
    <row r="43" spans="1:25" ht="15" x14ac:dyDescent="0.3">
      <c r="A43" s="1" t="s">
        <v>38</v>
      </c>
      <c r="B43" s="24">
        <v>-208.7</v>
      </c>
      <c r="C43" s="24">
        <v>-187.2</v>
      </c>
      <c r="D43" s="24">
        <f>-413.7/2</f>
        <v>-206.85</v>
      </c>
      <c r="E43" s="24">
        <v>-173.3</v>
      </c>
      <c r="F43" s="11">
        <v>-230.98759789885003</v>
      </c>
      <c r="G43" s="11">
        <v>-184.78574816285004</v>
      </c>
      <c r="H43" s="11">
        <v>-216.44246431671513</v>
      </c>
      <c r="I43" s="11">
        <v>-308.10856953090052</v>
      </c>
      <c r="J43" s="11">
        <v>-236.86348335970024</v>
      </c>
      <c r="K43" s="11">
        <v>-174.75689984901385</v>
      </c>
      <c r="L43" s="11">
        <v>-170.94392877536842</v>
      </c>
      <c r="M43" s="11">
        <v>-196.52927707485554</v>
      </c>
      <c r="N43" s="31">
        <v>-280.51209173606105</v>
      </c>
      <c r="O43" s="24">
        <v>-349.56594999999999</v>
      </c>
      <c r="P43" s="24">
        <v>-423.35312841285293</v>
      </c>
      <c r="Q43" s="11">
        <v>-432.32215158078532</v>
      </c>
      <c r="R43" s="39">
        <v>-391.12997201748107</v>
      </c>
      <c r="S43" s="39">
        <v>-445.22009814315697</v>
      </c>
      <c r="T43" s="39">
        <v>-543.22450000000003</v>
      </c>
      <c r="U43" s="39">
        <v>-442.43380087818252</v>
      </c>
      <c r="V43" s="39">
        <f>V41-V42</f>
        <v>-533.9630758824643</v>
      </c>
      <c r="W43" s="39">
        <f>W41-W42</f>
        <v>-705.89530643554133</v>
      </c>
      <c r="X43" s="39">
        <f>X41-X42</f>
        <v>-777.34356532505763</v>
      </c>
      <c r="Y43" s="39">
        <v>-879.52364732844683</v>
      </c>
    </row>
    <row r="44" spans="1:25" ht="15" x14ac:dyDescent="0.3">
      <c r="A44" s="1" t="s">
        <v>39</v>
      </c>
      <c r="B44" s="24">
        <f>52.8/2</f>
        <v>26.4</v>
      </c>
      <c r="C44" s="24">
        <f>48.5/2</f>
        <v>24.25</v>
      </c>
      <c r="D44" s="24">
        <f>58.6/2</f>
        <v>29.3</v>
      </c>
      <c r="E44" s="24">
        <f>61.8/2</f>
        <v>30.9</v>
      </c>
      <c r="F44" s="11">
        <v>40.9</v>
      </c>
      <c r="G44" s="11">
        <v>57.8</v>
      </c>
      <c r="H44" s="11">
        <v>70.761753686679356</v>
      </c>
      <c r="I44" s="11">
        <v>74.131493813169428</v>
      </c>
      <c r="J44" s="11">
        <v>76.220892102938734</v>
      </c>
      <c r="K44" s="11">
        <v>76.05382865155886</v>
      </c>
      <c r="L44" s="11">
        <v>72.966044322601263</v>
      </c>
      <c r="M44" s="11">
        <v>73.588137188262451</v>
      </c>
      <c r="N44" s="31">
        <v>72.044200870204605</v>
      </c>
      <c r="O44" s="24">
        <v>77.977000000000004</v>
      </c>
      <c r="P44" s="24">
        <v>82.386499999999998</v>
      </c>
      <c r="Q44" s="11">
        <v>87.164500000000004</v>
      </c>
      <c r="R44" s="39">
        <v>87.857006797122409</v>
      </c>
      <c r="S44" s="39">
        <v>89.651984439194507</v>
      </c>
      <c r="T44" s="39">
        <v>94.459240618486518</v>
      </c>
      <c r="U44" s="39">
        <v>118.3261099178965</v>
      </c>
      <c r="V44" s="39">
        <v>133.00238749717801</v>
      </c>
      <c r="W44" s="39">
        <v>140.05934322081006</v>
      </c>
      <c r="X44" s="39">
        <v>147.20965399160525</v>
      </c>
      <c r="Y44" s="39">
        <v>151.79209315551623</v>
      </c>
    </row>
    <row r="45" spans="1:25" ht="15" x14ac:dyDescent="0.3">
      <c r="A45" s="1" t="s">
        <v>40</v>
      </c>
      <c r="B45" s="24">
        <v>110.5</v>
      </c>
      <c r="C45" s="24">
        <v>121.5</v>
      </c>
      <c r="D45" s="24">
        <f>299.4/2</f>
        <v>149.69999999999999</v>
      </c>
      <c r="E45" s="24">
        <f>336.1/2</f>
        <v>168.05</v>
      </c>
      <c r="F45" s="11">
        <v>213.60926686970387</v>
      </c>
      <c r="G45" s="11">
        <v>254.67532218214899</v>
      </c>
      <c r="H45" s="11">
        <v>283.60172437059998</v>
      </c>
      <c r="I45" s="11">
        <v>272.57472662059996</v>
      </c>
      <c r="J45" s="11">
        <v>256.24900278666291</v>
      </c>
      <c r="K45" s="11">
        <v>248.60594841109855</v>
      </c>
      <c r="L45" s="11">
        <v>247.57372425734079</v>
      </c>
      <c r="M45" s="11">
        <v>299.01623463794863</v>
      </c>
      <c r="N45" s="31">
        <v>350.97914006715411</v>
      </c>
      <c r="O45" s="24">
        <v>373.82530561816412</v>
      </c>
      <c r="P45" s="24">
        <v>371.25</v>
      </c>
      <c r="Q45" s="11">
        <v>390.43900000000002</v>
      </c>
      <c r="R45" s="39">
        <v>389.19343957886377</v>
      </c>
      <c r="S45" s="39">
        <v>439.17495806500949</v>
      </c>
      <c r="T45" s="39">
        <v>526.67426191592199</v>
      </c>
      <c r="U45" s="39">
        <v>246.87394612194799</v>
      </c>
      <c r="V45" s="39">
        <v>374.11627580122155</v>
      </c>
      <c r="W45" s="39">
        <v>600.51708941288609</v>
      </c>
      <c r="X45" s="39">
        <v>730.43622158748872</v>
      </c>
      <c r="Y45" s="39">
        <v>813.15256240770418</v>
      </c>
    </row>
    <row r="46" spans="1:25" ht="15" x14ac:dyDescent="0.3">
      <c r="A46" s="1" t="s">
        <v>41</v>
      </c>
      <c r="B46" s="24">
        <f>164.9-120.9</f>
        <v>44</v>
      </c>
      <c r="C46" s="24">
        <f>175.9-132.3</f>
        <v>43.599999999999994</v>
      </c>
      <c r="D46" s="24">
        <f>(424.3-284.9)/2</f>
        <v>69.700000000000017</v>
      </c>
      <c r="E46" s="24">
        <v>88.2</v>
      </c>
      <c r="F46" s="11">
        <v>142.98210182781281</v>
      </c>
      <c r="G46" s="11">
        <v>210.71768216466361</v>
      </c>
      <c r="H46" s="11">
        <v>229.91956789930339</v>
      </c>
      <c r="I46" s="31">
        <v>216.90369660055981</v>
      </c>
      <c r="J46" s="31">
        <v>182.63521222664781</v>
      </c>
      <c r="K46" s="31">
        <v>174.93435846728366</v>
      </c>
      <c r="L46" s="31">
        <v>169.10260273859535</v>
      </c>
      <c r="M46" s="31">
        <v>221.57162486782283</v>
      </c>
      <c r="N46" s="31">
        <v>253.03819191861641</v>
      </c>
      <c r="O46" s="24">
        <v>285.59050000000002</v>
      </c>
      <c r="P46" s="24">
        <v>277.09249999999997</v>
      </c>
      <c r="Q46" s="11">
        <v>293.07100000000008</v>
      </c>
      <c r="R46" s="39">
        <v>300.30045404527834</v>
      </c>
      <c r="S46" s="39">
        <v>396.8002601940035</v>
      </c>
      <c r="T46" s="39">
        <v>442.50799999999998</v>
      </c>
      <c r="U46" s="39">
        <v>255.238692438225</v>
      </c>
      <c r="V46" s="39">
        <v>327.50539730181481</v>
      </c>
      <c r="W46" s="39">
        <v>501.38117032472326</v>
      </c>
      <c r="X46" s="39">
        <v>740.2084138901987</v>
      </c>
      <c r="Y46" s="39">
        <v>795.60810028602373</v>
      </c>
    </row>
    <row r="47" spans="1:25" ht="15" x14ac:dyDescent="0.3">
      <c r="A47" s="1" t="s">
        <v>42</v>
      </c>
      <c r="B47" s="24">
        <v>-182.3</v>
      </c>
      <c r="C47" s="24">
        <v>-165.6</v>
      </c>
      <c r="D47" s="24">
        <f>-352.8/2</f>
        <v>-176.4</v>
      </c>
      <c r="E47" s="24">
        <v>-155.85</v>
      </c>
      <c r="F47" s="11">
        <v>-151.22116054899891</v>
      </c>
      <c r="G47" s="11">
        <v>-25.383981597273142</v>
      </c>
      <c r="H47" s="11">
        <v>-52.089997456238606</v>
      </c>
      <c r="I47" s="11">
        <v>-144.83341443454574</v>
      </c>
      <c r="J47" s="11">
        <v>-79.704983316942759</v>
      </c>
      <c r="K47" s="11">
        <v>-46.475162409412647</v>
      </c>
      <c r="L47" s="11">
        <v>-15.880945715157431</v>
      </c>
      <c r="M47" s="11">
        <v>-19.341091931456532</v>
      </c>
      <c r="N47" s="31">
        <v>-72.599999999999994</v>
      </c>
      <c r="O47" s="24">
        <v>-127.8115</v>
      </c>
      <c r="P47" s="24">
        <v>-171.726</v>
      </c>
      <c r="Q47" s="11">
        <v>-151.60465158078523</v>
      </c>
      <c r="R47" s="39">
        <v>-143.70339553710016</v>
      </c>
      <c r="S47" s="39">
        <v>-151.70082873129951</v>
      </c>
      <c r="T47" s="39">
        <v>-184.6455</v>
      </c>
      <c r="U47" s="39">
        <v>-127.91978723921849</v>
      </c>
      <c r="V47" s="39">
        <v>-157.86836515655762</v>
      </c>
      <c r="W47" s="39">
        <v>-235.56553631467244</v>
      </c>
      <c r="X47" s="39">
        <v>-19.761053464388567</v>
      </c>
      <c r="Y47" s="39">
        <v>-51.757628196399423</v>
      </c>
    </row>
    <row r="48" spans="1:25" ht="15" x14ac:dyDescent="0.3">
      <c r="A48" s="1" t="s">
        <v>43</v>
      </c>
      <c r="B48" s="11">
        <f>1.2+172.3</f>
        <v>173.5</v>
      </c>
      <c r="C48" s="11">
        <f>11.4+140.2</f>
        <v>151.6</v>
      </c>
      <c r="D48" s="11">
        <f>(3+346)/2</f>
        <v>174.5</v>
      </c>
      <c r="E48" s="11">
        <v>127.3</v>
      </c>
      <c r="F48" s="11">
        <v>147.29913469553324</v>
      </c>
      <c r="G48" s="11">
        <v>83.243535515315216</v>
      </c>
      <c r="H48" s="11">
        <v>123.65008606134458</v>
      </c>
      <c r="I48" s="11">
        <v>214.53836469703501</v>
      </c>
      <c r="J48" s="11">
        <v>135.53940586456861</v>
      </c>
      <c r="K48" s="11">
        <v>32.839181489478491</v>
      </c>
      <c r="L48" s="11">
        <v>42.573224682604391</v>
      </c>
      <c r="M48" s="11">
        <v>84.296679967897475</v>
      </c>
      <c r="N48" s="31">
        <v>174</v>
      </c>
      <c r="O48" s="24">
        <v>218.63634765189215</v>
      </c>
      <c r="P48" s="24">
        <v>100.86849999999998</v>
      </c>
      <c r="Q48" s="11">
        <v>89.575999999999993</v>
      </c>
      <c r="R48" s="39">
        <v>67.26695963902992</v>
      </c>
      <c r="S48" s="39">
        <v>134.5029312624815</v>
      </c>
      <c r="T48" s="39">
        <v>145.67949999999999</v>
      </c>
      <c r="U48" s="39">
        <v>183.121350720084</v>
      </c>
      <c r="V48" s="39">
        <v>290.7688207219785</v>
      </c>
      <c r="W48" s="39">
        <v>217.139849535</v>
      </c>
      <c r="X48" s="47">
        <v>61.447465949963672</v>
      </c>
      <c r="Y48" s="39">
        <v>118.02139218725195</v>
      </c>
    </row>
    <row r="49" spans="1:28" ht="15" x14ac:dyDescent="0.3">
      <c r="A49" s="1" t="s">
        <v>44</v>
      </c>
      <c r="B49" s="24">
        <v>2.7</v>
      </c>
      <c r="C49" s="24">
        <v>5.4</v>
      </c>
      <c r="D49" s="24">
        <f>+C50-D50</f>
        <v>30.050000000000011</v>
      </c>
      <c r="E49" s="24">
        <f>62.7/2</f>
        <v>31.35</v>
      </c>
      <c r="F49" s="11">
        <v>-12.197459840000118</v>
      </c>
      <c r="G49" s="11">
        <v>49.818014205000011</v>
      </c>
      <c r="H49" s="11">
        <v>22.904133365000046</v>
      </c>
      <c r="I49" s="11">
        <v>57.901527850000058</v>
      </c>
      <c r="J49" s="11">
        <v>47.253490405000022</v>
      </c>
      <c r="K49" s="11">
        <v>4.3031519500000002</v>
      </c>
      <c r="L49" s="11">
        <v>18.087255305000014</v>
      </c>
      <c r="M49" s="11">
        <v>55.414657964999975</v>
      </c>
      <c r="N49" s="31">
        <v>113.59918973000003</v>
      </c>
      <c r="O49" s="24">
        <v>81.754865015000007</v>
      </c>
      <c r="P49" s="24">
        <v>-49.945103820000043</v>
      </c>
      <c r="Q49" s="11">
        <v>-60.331007500000112</v>
      </c>
      <c r="R49" s="39">
        <v>-64.575875804999896</v>
      </c>
      <c r="S49" s="39">
        <v>-17.777530819999999</v>
      </c>
      <c r="T49" s="39">
        <v>-17.754000000000001</v>
      </c>
      <c r="U49" s="39">
        <v>70.202996490000004</v>
      </c>
      <c r="V49" s="39">
        <v>75.109491999999989</v>
      </c>
      <c r="W49" s="39">
        <v>58.427454420000004</v>
      </c>
      <c r="X49" s="39">
        <v>-9.1954338749999778</v>
      </c>
      <c r="Y49" s="39">
        <v>8.8378796149999843</v>
      </c>
    </row>
    <row r="50" spans="1:28" ht="17.25" x14ac:dyDescent="0.3">
      <c r="A50" s="1" t="s">
        <v>65</v>
      </c>
      <c r="B50" s="24">
        <f>240.2/2</f>
        <v>120.1</v>
      </c>
      <c r="C50" s="24">
        <f>229.3/2</f>
        <v>114.65</v>
      </c>
      <c r="D50" s="24">
        <f>169.2/2</f>
        <v>84.6</v>
      </c>
      <c r="E50" s="24">
        <f>106.5/2</f>
        <v>53.25</v>
      </c>
      <c r="F50" s="11">
        <v>35.799999999999997</v>
      </c>
      <c r="G50" s="11">
        <v>85.626999999999995</v>
      </c>
      <c r="H50" s="11">
        <v>108.53096619999999</v>
      </c>
      <c r="I50" s="11">
        <v>166.43249362500001</v>
      </c>
      <c r="J50" s="11">
        <v>213.68598385499999</v>
      </c>
      <c r="K50" s="11">
        <v>217.98913580499999</v>
      </c>
      <c r="L50" s="11">
        <v>236.07639111</v>
      </c>
      <c r="M50" s="11">
        <v>291.49104907499998</v>
      </c>
      <c r="N50" s="31">
        <v>405.09023880500001</v>
      </c>
      <c r="O50" s="24">
        <v>486.84510382000002</v>
      </c>
      <c r="P50" s="24">
        <v>436.9</v>
      </c>
      <c r="Q50" s="11">
        <v>376.56736357999989</v>
      </c>
      <c r="R50" s="39">
        <f>625.9217823/2</f>
        <v>312.96089115000001</v>
      </c>
      <c r="S50" s="39">
        <v>295.62321924499997</v>
      </c>
      <c r="T50" s="39">
        <v>277.86918700000001</v>
      </c>
      <c r="U50" s="39">
        <v>348.07218348999999</v>
      </c>
      <c r="V50" s="39">
        <v>424.03838698999999</v>
      </c>
      <c r="W50" s="39">
        <v>482.46584141</v>
      </c>
      <c r="X50" s="47">
        <v>473.3</v>
      </c>
      <c r="Y50" s="39">
        <v>482.10673215000003</v>
      </c>
    </row>
    <row r="51" spans="1:28" ht="15" x14ac:dyDescent="0.3">
      <c r="A51" s="1" t="s">
        <v>45</v>
      </c>
      <c r="B51" s="24">
        <v>3.2</v>
      </c>
      <c r="C51" s="24">
        <v>3.2</v>
      </c>
      <c r="D51" s="24">
        <v>2.1</v>
      </c>
      <c r="E51" s="24">
        <v>1.4162453708936078</v>
      </c>
      <c r="F51" s="11">
        <v>0.70085151608214258</v>
      </c>
      <c r="G51" s="11">
        <v>1.5177618466461735</v>
      </c>
      <c r="H51" s="11">
        <v>1.8407001228394948</v>
      </c>
      <c r="I51" s="11">
        <v>2.2945410136232804</v>
      </c>
      <c r="J51" s="11">
        <v>3.7281896879191296</v>
      </c>
      <c r="K51" s="11">
        <v>3.7</v>
      </c>
      <c r="L51" s="11">
        <v>3.3048344377885677</v>
      </c>
      <c r="M51" s="11">
        <v>3.8691373182863567</v>
      </c>
      <c r="N51" s="31">
        <v>5.0259277413636703</v>
      </c>
      <c r="O51" s="24">
        <v>5.699450124532893</v>
      </c>
      <c r="P51" s="24">
        <v>4.9869071592882221</v>
      </c>
      <c r="Q51" s="11">
        <v>4.6820000000000004</v>
      </c>
      <c r="R51" s="39">
        <v>4.0022397550326652</v>
      </c>
      <c r="S51" s="39">
        <v>3.5837266076842078</v>
      </c>
      <c r="T51" s="39">
        <v>3.2198156350261145</v>
      </c>
      <c r="U51" s="39">
        <v>5.2</v>
      </c>
      <c r="V51" s="39">
        <v>5.2128533011310827</v>
      </c>
      <c r="W51" s="47">
        <v>4.1004619391689774</v>
      </c>
      <c r="X51" s="39">
        <v>4.1004619391689756</v>
      </c>
      <c r="Y51" s="39">
        <v>3.8625965225580017</v>
      </c>
    </row>
    <row r="52" spans="1:28" ht="15" x14ac:dyDescent="0.3">
      <c r="A52" s="4" t="s">
        <v>46</v>
      </c>
      <c r="B52" s="24"/>
      <c r="C52" s="24"/>
      <c r="D52" s="24"/>
      <c r="E52" s="24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48"/>
      <c r="S52" s="48"/>
      <c r="T52" s="48"/>
      <c r="U52" s="48"/>
      <c r="V52" s="48"/>
      <c r="W52" s="48"/>
      <c r="X52" s="48"/>
      <c r="Y52" s="41"/>
      <c r="Z52" s="5"/>
    </row>
    <row r="53" spans="1:28" ht="15" x14ac:dyDescent="0.3">
      <c r="A53" s="1" t="s">
        <v>47</v>
      </c>
      <c r="B53" s="24">
        <v>494.9</v>
      </c>
      <c r="C53" s="24">
        <v>630.4</v>
      </c>
      <c r="D53" s="24">
        <v>801.6</v>
      </c>
      <c r="E53" s="24">
        <v>893.1</v>
      </c>
      <c r="F53" s="11">
        <v>970.5</v>
      </c>
      <c r="G53" s="11">
        <v>985.7</v>
      </c>
      <c r="H53" s="11">
        <v>972.7</v>
      </c>
      <c r="I53" s="11">
        <v>957.8</v>
      </c>
      <c r="J53" s="11">
        <v>1017</v>
      </c>
      <c r="K53" s="11">
        <v>1012.7</v>
      </c>
      <c r="L53" s="11">
        <v>1022.2</v>
      </c>
      <c r="M53" s="11">
        <v>1015.3499999999999</v>
      </c>
      <c r="N53" s="27">
        <v>1084.6999999999998</v>
      </c>
      <c r="O53" s="24">
        <v>1127.9069999999999</v>
      </c>
      <c r="P53" s="24">
        <v>1179.9786180000001</v>
      </c>
      <c r="Q53" s="11">
        <v>1204.0778369</v>
      </c>
      <c r="R53" s="49">
        <v>1256.8597090999999</v>
      </c>
      <c r="S53" s="49">
        <v>1284.5042424999999</v>
      </c>
      <c r="T53" s="49">
        <v>1321.8382692499999</v>
      </c>
      <c r="U53" s="49">
        <v>1452.8533908899999</v>
      </c>
      <c r="V53" s="49">
        <v>1338.6339859499999</v>
      </c>
      <c r="W53" s="50">
        <v>1367.3051857800001</v>
      </c>
      <c r="X53" s="50">
        <v>1429.39155153</v>
      </c>
      <c r="Y53" s="50">
        <v>1458.7005371800001</v>
      </c>
    </row>
    <row r="54" spans="1:28" ht="15" x14ac:dyDescent="0.3">
      <c r="A54" s="1" t="s">
        <v>48</v>
      </c>
      <c r="B54" s="24">
        <f>+(B53*2)/B9*100</f>
        <v>42.225336485269516</v>
      </c>
      <c r="C54" s="24">
        <f>+(C53*2)/C9*100</f>
        <v>50.678824916604526</v>
      </c>
      <c r="D54" s="24">
        <f>+(D53*2)/D9*100</f>
        <v>61.271275005702734</v>
      </c>
      <c r="E54" s="24">
        <f t="shared" ref="E54:Y54" si="27">+(E53*2)/E9*100</f>
        <v>63.783654042133939</v>
      </c>
      <c r="F54" s="24">
        <f t="shared" si="27"/>
        <v>65.827922996541261</v>
      </c>
      <c r="G54" s="24">
        <f t="shared" si="27"/>
        <v>61.975659491925683</v>
      </c>
      <c r="H54" s="24">
        <f t="shared" si="27"/>
        <v>57.010049045272602</v>
      </c>
      <c r="I54" s="24">
        <f t="shared" si="27"/>
        <v>55.094942098185193</v>
      </c>
      <c r="J54" s="24">
        <f t="shared" si="27"/>
        <v>60.248360527542665</v>
      </c>
      <c r="K54" s="24">
        <f t="shared" si="27"/>
        <v>57.902042345876779</v>
      </c>
      <c r="L54" s="24">
        <f t="shared" si="27"/>
        <v>55.8098378566972</v>
      </c>
      <c r="M54" s="24">
        <f t="shared" si="27"/>
        <v>52.963264343320461</v>
      </c>
      <c r="N54" s="24">
        <f t="shared" si="27"/>
        <v>53.297196654913094</v>
      </c>
      <c r="O54" s="24">
        <f t="shared" si="27"/>
        <v>52.749262924124743</v>
      </c>
      <c r="P54" s="24">
        <f t="shared" si="27"/>
        <v>53.80425979880016</v>
      </c>
      <c r="Q54" s="24">
        <f t="shared" si="27"/>
        <v>53.762956398039584</v>
      </c>
      <c r="R54" s="24">
        <f t="shared" si="27"/>
        <v>55.465314934789454</v>
      </c>
      <c r="S54" s="24">
        <f t="shared" si="27"/>
        <v>56.192124995208268</v>
      </c>
      <c r="T54" s="24">
        <f t="shared" si="27"/>
        <v>55.511717098417925</v>
      </c>
      <c r="U54" s="24">
        <f t="shared" si="27"/>
        <v>70.964896077096654</v>
      </c>
      <c r="V54" s="24">
        <f t="shared" si="27"/>
        <v>55.119432743487451</v>
      </c>
      <c r="W54" s="24">
        <f t="shared" si="27"/>
        <v>48.032849167447786</v>
      </c>
      <c r="X54" s="24">
        <f t="shared" si="27"/>
        <v>46.829021511269076</v>
      </c>
      <c r="Y54" s="24">
        <f t="shared" si="27"/>
        <v>45.53271515421369</v>
      </c>
    </row>
    <row r="55" spans="1:28" ht="17.25" x14ac:dyDescent="0.3">
      <c r="A55" s="1" t="s">
        <v>64</v>
      </c>
      <c r="B55" s="24">
        <f>79.19</f>
        <v>79.19</v>
      </c>
      <c r="C55" s="24">
        <v>77.400000000000006</v>
      </c>
      <c r="D55" s="24">
        <v>83</v>
      </c>
      <c r="E55" s="24">
        <v>96.9</v>
      </c>
      <c r="F55" s="11">
        <v>88.9</v>
      </c>
      <c r="G55" s="11">
        <v>134.30000000000001</v>
      </c>
      <c r="H55" s="11">
        <v>133.4374499999999</v>
      </c>
      <c r="I55" s="11">
        <v>96.859499999999997</v>
      </c>
      <c r="J55" s="11">
        <v>81.2</v>
      </c>
      <c r="K55" s="11">
        <v>76.599999999999994</v>
      </c>
      <c r="L55" s="11">
        <v>81.407499999999999</v>
      </c>
      <c r="M55" s="11">
        <v>78.980500000000006</v>
      </c>
      <c r="N55" s="27">
        <v>61.917500000000004</v>
      </c>
      <c r="O55" s="24">
        <v>77.513999999999996</v>
      </c>
      <c r="P55" s="24">
        <v>126.93300000000001</v>
      </c>
      <c r="Q55" s="11">
        <v>83.212700450000014</v>
      </c>
      <c r="R55" s="42">
        <v>85.931892999999988</v>
      </c>
      <c r="S55" s="42">
        <v>85.773472700000013</v>
      </c>
      <c r="T55" s="42">
        <v>90.739964749999999</v>
      </c>
      <c r="U55" s="42">
        <f>(97.401+64.941)/2</f>
        <v>81.170999999999992</v>
      </c>
      <c r="V55" s="42">
        <v>625.65806710000004</v>
      </c>
      <c r="W55" s="51">
        <v>71.705500000000001</v>
      </c>
      <c r="X55" s="51">
        <v>93.59899999999999</v>
      </c>
      <c r="Y55" s="51">
        <v>138.80780160500001</v>
      </c>
    </row>
    <row r="56" spans="1:28" ht="15" hidden="1" customHeight="1" x14ac:dyDescent="0.3">
      <c r="A56" s="1" t="s">
        <v>49</v>
      </c>
      <c r="B56" s="24">
        <v>12.66</v>
      </c>
      <c r="C56" s="24">
        <v>28.73</v>
      </c>
      <c r="D56" s="24">
        <v>43.67</v>
      </c>
      <c r="E56" s="24"/>
      <c r="F56" s="11"/>
      <c r="G56" s="11"/>
      <c r="H56" s="11">
        <v>16.200746676379516</v>
      </c>
      <c r="I56" s="11"/>
      <c r="J56" s="11"/>
      <c r="K56" s="11"/>
      <c r="L56" s="11"/>
      <c r="M56" s="11"/>
      <c r="N56" s="27"/>
      <c r="O56" s="24"/>
      <c r="P56" s="24"/>
      <c r="Q56" s="11"/>
      <c r="R56" s="40"/>
      <c r="S56" s="40"/>
      <c r="T56" s="40"/>
      <c r="U56" s="40"/>
      <c r="V56" s="40"/>
      <c r="W56" s="52"/>
      <c r="X56" s="52"/>
      <c r="Y56" s="41"/>
    </row>
    <row r="57" spans="1:28" ht="15" hidden="1" customHeight="1" x14ac:dyDescent="0.3">
      <c r="A57" s="1" t="s">
        <v>50</v>
      </c>
      <c r="B57" s="11"/>
      <c r="C57" s="11">
        <v>99.2</v>
      </c>
      <c r="D57" s="11">
        <v>50.2</v>
      </c>
      <c r="E57" s="11">
        <v>95.4</v>
      </c>
      <c r="F57" s="11">
        <v>79</v>
      </c>
      <c r="G57" s="11"/>
      <c r="H57" s="11">
        <v>321.89999999999998</v>
      </c>
      <c r="I57" s="11"/>
      <c r="J57" s="11"/>
      <c r="K57" s="11"/>
      <c r="L57" s="11"/>
      <c r="M57" s="11"/>
      <c r="N57" s="27"/>
      <c r="O57" s="24"/>
      <c r="P57" s="24"/>
      <c r="Q57" s="11"/>
      <c r="R57" s="40"/>
      <c r="S57" s="40"/>
      <c r="T57" s="40"/>
      <c r="U57" s="40"/>
      <c r="V57" s="40"/>
      <c r="W57" s="52"/>
      <c r="X57" s="52"/>
      <c r="Y57" s="41"/>
    </row>
    <row r="58" spans="1:28" ht="15" x14ac:dyDescent="0.3">
      <c r="A58" s="4" t="s">
        <v>51</v>
      </c>
      <c r="B58" s="24">
        <f>+B55/(B41+174.54)*100</f>
        <v>17.850058606076999</v>
      </c>
      <c r="C58" s="24">
        <f>+C55/(C41+184.1)*100</f>
        <v>15.674362089914947</v>
      </c>
      <c r="D58" s="24">
        <f>+D55/(D41+212.4)*100</f>
        <v>15.722674749005494</v>
      </c>
      <c r="E58" s="24">
        <f>+E55/(E41+235.3)*100</f>
        <v>17.853523721787194</v>
      </c>
      <c r="F58" s="11">
        <v>14.179022785570778</v>
      </c>
      <c r="G58" s="11">
        <v>16.999052799221822</v>
      </c>
      <c r="H58" s="11">
        <v>16.2</v>
      </c>
      <c r="I58" s="33">
        <f t="shared" ref="I58:L58" si="28">(I55/(I41+I46))*100</f>
        <v>13.895942962378435</v>
      </c>
      <c r="J58" s="33">
        <f t="shared" si="28"/>
        <v>14.339098479163439</v>
      </c>
      <c r="K58" s="33">
        <f t="shared" si="28"/>
        <v>11.727891575861195</v>
      </c>
      <c r="L58" s="33">
        <f t="shared" si="28"/>
        <v>10.534317973515845</v>
      </c>
      <c r="M58" s="33">
        <v>9.3673428875841438</v>
      </c>
      <c r="N58" s="27">
        <v>7.1904102125212273</v>
      </c>
      <c r="O58" s="24">
        <v>8.8610603094867546</v>
      </c>
      <c r="P58" s="24">
        <v>15.57452278319429</v>
      </c>
      <c r="Q58" s="11">
        <v>11.30805974769633</v>
      </c>
      <c r="R58" s="39">
        <f>(R55/(R41+R46))*100</f>
        <v>11.345107637428743</v>
      </c>
      <c r="S58" s="39">
        <f>(S55/(S41+S46))*100</f>
        <v>10.108522330621254</v>
      </c>
      <c r="T58" s="39">
        <f>(T55/(T41+T46))*100</f>
        <v>10.456527121411691</v>
      </c>
      <c r="U58" s="39">
        <f t="shared" ref="U58:Y58" si="29">(U55/(U41+U46))*100</f>
        <v>14.914646858054942</v>
      </c>
      <c r="V58" s="39">
        <f>(71.98/(V41+V46))*100</f>
        <v>9.6020912179383338</v>
      </c>
      <c r="W58" s="39">
        <f>(W55/(W41+W46))*100</f>
        <v>7.036009237844473</v>
      </c>
      <c r="X58" s="47">
        <f t="shared" si="29"/>
        <v>7.6203283970531306</v>
      </c>
      <c r="Y58" s="47">
        <f t="shared" si="29"/>
        <v>10.860591418913454</v>
      </c>
    </row>
    <row r="59" spans="1:28" ht="15" x14ac:dyDescent="0.3">
      <c r="A59" s="1" t="s">
        <v>52</v>
      </c>
      <c r="B59" s="24">
        <v>208.74</v>
      </c>
      <c r="C59" s="24">
        <v>171.91</v>
      </c>
      <c r="D59" s="24">
        <v>256.45999999999998</v>
      </c>
      <c r="E59" s="24">
        <v>278.54000000000002</v>
      </c>
      <c r="F59" s="11">
        <v>279.43</v>
      </c>
      <c r="G59" s="11">
        <v>299.86</v>
      </c>
      <c r="H59" s="11">
        <v>321.89999999999998</v>
      </c>
      <c r="I59" s="11">
        <v>332.8</v>
      </c>
      <c r="J59" s="11">
        <v>320.19400000000002</v>
      </c>
      <c r="K59" s="11">
        <v>367.80599999999998</v>
      </c>
      <c r="L59" s="11">
        <v>381.18900000000002</v>
      </c>
      <c r="M59" s="11">
        <v>389.9</v>
      </c>
      <c r="N59" s="27">
        <v>385.96699999999998</v>
      </c>
      <c r="O59" s="24">
        <v>376.084</v>
      </c>
      <c r="P59" s="24">
        <v>494.44499999999999</v>
      </c>
      <c r="Q59" s="11">
        <v>747.78282268999988</v>
      </c>
      <c r="R59" s="49">
        <v>1026.537121417</v>
      </c>
      <c r="S59" s="49">
        <v>1045.3485452580001</v>
      </c>
      <c r="T59" s="49">
        <v>1103.351304021</v>
      </c>
      <c r="U59" s="49">
        <v>1297.1840138309999</v>
      </c>
      <c r="V59" s="49">
        <v>1294.0134890510001</v>
      </c>
      <c r="W59" s="50">
        <v>1279.932833111</v>
      </c>
      <c r="X59" s="50">
        <v>1454.487897661</v>
      </c>
      <c r="Y59" s="50">
        <v>1452.8788908810002</v>
      </c>
      <c r="Z59" s="5"/>
      <c r="AA59" s="5"/>
      <c r="AB59" s="5"/>
    </row>
    <row r="60" spans="1:28" ht="15" x14ac:dyDescent="0.3">
      <c r="A60" s="14" t="s">
        <v>53</v>
      </c>
      <c r="B60" s="34">
        <v>17.7</v>
      </c>
      <c r="C60" s="34">
        <v>19.2</v>
      </c>
      <c r="D60" s="34">
        <v>13.7</v>
      </c>
      <c r="E60" s="34">
        <v>18.8</v>
      </c>
      <c r="F60" s="34">
        <v>23.097000000000001</v>
      </c>
      <c r="G60" s="34">
        <v>27.54</v>
      </c>
      <c r="H60" s="34">
        <v>30.4</v>
      </c>
      <c r="I60" s="34">
        <v>47.7</v>
      </c>
      <c r="J60" s="34">
        <v>39.073999999999998</v>
      </c>
      <c r="K60" s="34">
        <v>40.106000000000002</v>
      </c>
      <c r="L60" s="34">
        <v>20.513999999999999</v>
      </c>
      <c r="M60" s="34">
        <v>20.3</v>
      </c>
      <c r="N60" s="35">
        <v>20</v>
      </c>
      <c r="O60" s="34">
        <v>17</v>
      </c>
      <c r="P60" s="34">
        <v>27.422999999999998</v>
      </c>
      <c r="Q60" s="34">
        <v>18.314</v>
      </c>
      <c r="R60" s="53">
        <v>34.1</v>
      </c>
      <c r="S60" s="53">
        <v>35.881999999999998</v>
      </c>
      <c r="T60" s="53">
        <v>36.619</v>
      </c>
      <c r="U60" s="53">
        <f>(0.627+40.318)</f>
        <v>40.945</v>
      </c>
      <c r="V60" s="54">
        <v>41.317</v>
      </c>
      <c r="W60" s="55">
        <v>42.638907209999999</v>
      </c>
      <c r="X60" s="55">
        <v>60.686401279999998</v>
      </c>
      <c r="Y60" s="55">
        <v>47.377000000000002</v>
      </c>
    </row>
    <row r="61" spans="1:28" ht="13.5" customHeight="1" x14ac:dyDescent="0.35">
      <c r="A61" s="15" t="s">
        <v>54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8" ht="13.5" customHeight="1" x14ac:dyDescent="0.35">
      <c r="A62" s="15" t="s">
        <v>66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8" ht="15.75" customHeight="1" x14ac:dyDescent="0.35">
      <c r="A63" s="17" t="s">
        <v>61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5"/>
      <c r="W63" s="5"/>
      <c r="X63" s="5"/>
      <c r="Y63" s="5"/>
      <c r="Z63" s="5"/>
      <c r="AA63" s="5"/>
      <c r="AB63" s="5"/>
    </row>
    <row r="64" spans="1:28" ht="13.5" customHeight="1" x14ac:dyDescent="0.35">
      <c r="A64" s="17" t="s">
        <v>62</v>
      </c>
      <c r="B64" s="15"/>
      <c r="C64" s="15"/>
      <c r="D64" s="15"/>
      <c r="E64" s="15"/>
      <c r="F64" s="15"/>
      <c r="G64" s="15"/>
      <c r="H64" s="18"/>
      <c r="I64" s="15"/>
      <c r="J64" s="15"/>
      <c r="K64" s="15"/>
      <c r="L64" s="15"/>
      <c r="M64" s="18"/>
      <c r="N64" s="15"/>
      <c r="O64" s="15"/>
      <c r="P64" s="15"/>
      <c r="Q64" s="15"/>
      <c r="R64" s="15"/>
      <c r="S64" s="15"/>
      <c r="T64" s="15"/>
      <c r="U64" s="15"/>
      <c r="V64" s="5"/>
      <c r="W64" s="5"/>
      <c r="X64" s="5"/>
      <c r="Y64" s="5"/>
      <c r="Z64" s="5"/>
      <c r="AA64" s="5"/>
      <c r="AB64" s="5"/>
    </row>
    <row r="65" spans="1:25" ht="15.75" customHeight="1" x14ac:dyDescent="0.35">
      <c r="A65" s="17" t="s">
        <v>63</v>
      </c>
      <c r="B65" s="15"/>
      <c r="C65" s="15"/>
      <c r="D65" s="15"/>
      <c r="E65" s="15"/>
      <c r="F65" s="15"/>
      <c r="G65" s="15"/>
      <c r="H65" s="17"/>
      <c r="I65" s="15"/>
      <c r="J65" s="15"/>
      <c r="K65" s="15"/>
      <c r="L65" s="15"/>
      <c r="M65" s="18"/>
      <c r="N65" s="15"/>
      <c r="O65" s="15"/>
      <c r="P65" s="15"/>
      <c r="Q65" s="15"/>
      <c r="R65" s="15"/>
      <c r="S65" s="15"/>
      <c r="T65" s="15"/>
      <c r="U65" s="15"/>
    </row>
    <row r="66" spans="1:25" ht="18.75" customHeight="1" x14ac:dyDescent="0.35">
      <c r="A66" s="17" t="s">
        <v>67</v>
      </c>
      <c r="B66" s="18"/>
      <c r="C66" s="18"/>
      <c r="D66" s="18"/>
      <c r="E66" s="18"/>
      <c r="F66" s="18"/>
      <c r="G66" s="18"/>
      <c r="H66" s="17"/>
      <c r="I66" s="18"/>
      <c r="J66" s="15"/>
      <c r="K66" s="15"/>
      <c r="L66" s="15"/>
      <c r="M66" s="18"/>
      <c r="N66" s="18"/>
      <c r="O66" s="18"/>
      <c r="P66" s="18"/>
      <c r="Q66" s="18"/>
      <c r="R66" s="18"/>
      <c r="S66" s="18"/>
      <c r="T66" s="18"/>
      <c r="U66" s="18"/>
    </row>
    <row r="67" spans="1:25" ht="17.25" x14ac:dyDescent="0.35">
      <c r="A67" s="15" t="s">
        <v>55</v>
      </c>
      <c r="B67" s="15"/>
      <c r="C67" s="15"/>
      <c r="D67" s="15"/>
      <c r="E67" s="15"/>
      <c r="F67" s="15"/>
      <c r="G67" s="15"/>
      <c r="H67" s="19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5" ht="17.25" x14ac:dyDescent="0.35">
      <c r="A68" s="15" t="s">
        <v>56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5" ht="15" x14ac:dyDescent="0.35">
      <c r="A69" s="15" t="s">
        <v>57</v>
      </c>
      <c r="B69" s="15"/>
      <c r="C69" s="15"/>
      <c r="D69" s="15"/>
      <c r="E69" s="15"/>
      <c r="F69" s="15"/>
      <c r="G69" s="15"/>
      <c r="H69" s="20"/>
      <c r="I69" s="19"/>
      <c r="J69" s="19"/>
      <c r="K69" s="19"/>
      <c r="L69" s="19"/>
      <c r="M69" s="19"/>
      <c r="N69" s="19"/>
      <c r="O69" s="19"/>
      <c r="P69" s="19"/>
      <c r="Q69" s="15"/>
      <c r="R69" s="15"/>
      <c r="S69" s="15"/>
      <c r="T69" s="15"/>
      <c r="U69" s="15"/>
    </row>
    <row r="70" spans="1:25" x14ac:dyDescent="0.3">
      <c r="A70" s="21"/>
      <c r="B70" s="21"/>
      <c r="C70" s="21"/>
      <c r="D70" s="21"/>
      <c r="E70" s="21"/>
      <c r="F70" s="21"/>
      <c r="G70" s="21"/>
      <c r="I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x14ac:dyDescent="0.3">
      <c r="I71" s="23"/>
      <c r="K71" s="12"/>
      <c r="L71" s="12"/>
      <c r="M71" s="12"/>
      <c r="N71" s="12"/>
      <c r="O71" s="12"/>
      <c r="P71" s="12"/>
      <c r="R71"/>
    </row>
    <row r="72" spans="1:25" x14ac:dyDescent="0.3">
      <c r="R72"/>
    </row>
    <row r="73" spans="1:25" x14ac:dyDescent="0.3">
      <c r="R73"/>
    </row>
    <row r="74" spans="1:25" x14ac:dyDescent="0.3">
      <c r="R74"/>
    </row>
    <row r="75" spans="1:25" x14ac:dyDescent="0.3">
      <c r="R75"/>
    </row>
    <row r="76" spans="1:25" x14ac:dyDescent="0.3">
      <c r="R76"/>
    </row>
    <row r="77" spans="1:25" x14ac:dyDescent="0.3">
      <c r="R77"/>
    </row>
    <row r="78" spans="1:25" x14ac:dyDescent="0.3">
      <c r="R78"/>
    </row>
    <row r="79" spans="1:25" x14ac:dyDescent="0.3">
      <c r="R79"/>
    </row>
    <row r="80" spans="1:25" x14ac:dyDescent="0.3">
      <c r="R80"/>
    </row>
    <row r="81" spans="18:18" x14ac:dyDescent="0.3">
      <c r="R81"/>
    </row>
    <row r="82" spans="18:18" x14ac:dyDescent="0.3">
      <c r="R82"/>
    </row>
    <row r="83" spans="18:18" x14ac:dyDescent="0.3">
      <c r="R83"/>
    </row>
    <row r="84" spans="18:18" x14ac:dyDescent="0.3">
      <c r="R84"/>
    </row>
    <row r="85" spans="18:18" x14ac:dyDescent="0.3">
      <c r="R85"/>
    </row>
    <row r="86" spans="18:18" x14ac:dyDescent="0.3">
      <c r="R86"/>
    </row>
    <row r="87" spans="18:18" x14ac:dyDescent="0.3">
      <c r="R87"/>
    </row>
    <row r="88" spans="18:18" x14ac:dyDescent="0.3">
      <c r="R88"/>
    </row>
    <row r="89" spans="18:18" x14ac:dyDescent="0.3">
      <c r="R89"/>
    </row>
    <row r="90" spans="18:18" x14ac:dyDescent="0.3">
      <c r="R90"/>
    </row>
    <row r="91" spans="18:18" x14ac:dyDescent="0.3">
      <c r="R91"/>
    </row>
    <row r="92" spans="18:18" x14ac:dyDescent="0.3">
      <c r="R92"/>
    </row>
    <row r="93" spans="18:18" x14ac:dyDescent="0.3">
      <c r="R93"/>
    </row>
    <row r="94" spans="18:18" x14ac:dyDescent="0.3">
      <c r="R94"/>
    </row>
    <row r="95" spans="18:18" x14ac:dyDescent="0.3">
      <c r="R95"/>
    </row>
    <row r="96" spans="18:18" x14ac:dyDescent="0.3">
      <c r="R96"/>
    </row>
    <row r="97" spans="18:18" x14ac:dyDescent="0.3">
      <c r="R97"/>
    </row>
    <row r="98" spans="18:18" x14ac:dyDescent="0.3">
      <c r="R98"/>
    </row>
    <row r="99" spans="18:18" x14ac:dyDescent="0.3">
      <c r="R99"/>
    </row>
    <row r="100" spans="18:18" x14ac:dyDescent="0.3">
      <c r="R100"/>
    </row>
    <row r="101" spans="18:18" x14ac:dyDescent="0.3">
      <c r="R101"/>
    </row>
    <row r="102" spans="18:18" x14ac:dyDescent="0.3">
      <c r="R102"/>
    </row>
    <row r="103" spans="18:18" x14ac:dyDescent="0.3">
      <c r="R103"/>
    </row>
    <row r="104" spans="18:18" x14ac:dyDescent="0.3">
      <c r="R104"/>
    </row>
    <row r="105" spans="18:18" x14ac:dyDescent="0.3">
      <c r="R105"/>
    </row>
    <row r="106" spans="18:18" x14ac:dyDescent="0.3">
      <c r="R106"/>
    </row>
    <row r="107" spans="18:18" x14ac:dyDescent="0.3">
      <c r="R107"/>
    </row>
    <row r="108" spans="18:18" x14ac:dyDescent="0.3">
      <c r="R108"/>
    </row>
    <row r="109" spans="18:18" x14ac:dyDescent="0.3">
      <c r="R109"/>
    </row>
    <row r="110" spans="18:18" x14ac:dyDescent="0.3">
      <c r="R110"/>
    </row>
    <row r="111" spans="18:18" x14ac:dyDescent="0.3">
      <c r="R111"/>
    </row>
    <row r="112" spans="18:18" x14ac:dyDescent="0.3">
      <c r="R112"/>
    </row>
    <row r="113" spans="18:18" x14ac:dyDescent="0.3">
      <c r="R113"/>
    </row>
    <row r="114" spans="18:18" x14ac:dyDescent="0.3">
      <c r="R114"/>
    </row>
    <row r="115" spans="18:18" x14ac:dyDescent="0.3">
      <c r="R115"/>
    </row>
    <row r="116" spans="18:18" x14ac:dyDescent="0.3">
      <c r="R116"/>
    </row>
    <row r="117" spans="18:18" x14ac:dyDescent="0.3">
      <c r="R117"/>
    </row>
    <row r="118" spans="18:18" x14ac:dyDescent="0.3">
      <c r="R118"/>
    </row>
    <row r="119" spans="18:18" x14ac:dyDescent="0.3">
      <c r="R119"/>
    </row>
    <row r="120" spans="18:18" x14ac:dyDescent="0.3">
      <c r="R120"/>
    </row>
    <row r="121" spans="18:18" x14ac:dyDescent="0.3">
      <c r="R121"/>
    </row>
    <row r="122" spans="18:18" x14ac:dyDescent="0.3">
      <c r="R122"/>
    </row>
    <row r="123" spans="18:18" x14ac:dyDescent="0.3">
      <c r="R123"/>
    </row>
    <row r="124" spans="18:18" x14ac:dyDescent="0.3">
      <c r="R124"/>
    </row>
    <row r="125" spans="18:18" x14ac:dyDescent="0.3">
      <c r="R125"/>
    </row>
    <row r="126" spans="18:18" x14ac:dyDescent="0.3">
      <c r="R126"/>
    </row>
    <row r="127" spans="18:18" x14ac:dyDescent="0.3">
      <c r="R127"/>
    </row>
  </sheetData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Economic Indicators</vt:lpstr>
      <vt:lpstr>'Economic Indicators'!Print_Area</vt:lpstr>
    </vt:vector>
  </TitlesOfParts>
  <Manager/>
  <Company>Central Bank of Belize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emoryf</dc:creator>
  <cp:keywords/>
  <dc:description/>
  <cp:lastModifiedBy>Jair Santoya</cp:lastModifiedBy>
  <cp:revision/>
  <dcterms:created xsi:type="dcterms:W3CDTF">2011-02-23T22:56:52Z</dcterms:created>
  <dcterms:modified xsi:type="dcterms:W3CDTF">2026-03-10T18:19:55Z</dcterms:modified>
  <cp:category/>
  <cp:contentStatus/>
</cp:coreProperties>
</file>